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인증원2\Desktop\"/>
    </mc:Choice>
  </mc:AlternateContent>
  <bookViews>
    <workbookView xWindow="0" yWindow="0" windowWidth="22455" windowHeight="7935" tabRatio="650"/>
  </bookViews>
  <sheets>
    <sheet name="인적자원, 정보자원, 스튜디오 현황 (2016.02)" sheetId="4" r:id="rId1"/>
  </sheets>
  <definedNames>
    <definedName name="_xlnm._FilterDatabase" localSheetId="0" hidden="1">'인적자원, 정보자원, 스튜디오 현황 (2016.02)'!$B$1:$AA$53</definedName>
  </definedNames>
  <calcPr calcId="162913"/>
</workbook>
</file>

<file path=xl/calcChain.xml><?xml version="1.0" encoding="utf-8"?>
<calcChain xmlns="http://schemas.openxmlformats.org/spreadsheetml/2006/main">
  <c r="Y3" i="4" l="1"/>
  <c r="Z21" i="4" l="1"/>
  <c r="Z16" i="4"/>
  <c r="Z9" i="4"/>
  <c r="Y22" i="4" l="1"/>
  <c r="Y21" i="4"/>
  <c r="Y20" i="4"/>
  <c r="Y19" i="4"/>
  <c r="Y18" i="4"/>
  <c r="Y53" i="4"/>
  <c r="H53" i="4"/>
  <c r="Y52" i="4"/>
  <c r="H52" i="4"/>
  <c r="Y51" i="4"/>
  <c r="H51" i="4"/>
  <c r="Y50" i="4"/>
  <c r="H50" i="4"/>
  <c r="G50" i="4"/>
  <c r="Y49" i="4"/>
  <c r="H49" i="4" l="1"/>
  <c r="AA48" i="4"/>
  <c r="H48" i="4"/>
  <c r="Y47" i="4"/>
  <c r="X47" i="4"/>
  <c r="W47" i="4"/>
  <c r="X46" i="4"/>
  <c r="W46" i="4"/>
  <c r="K46" i="4"/>
  <c r="H46" i="4"/>
  <c r="Y45" i="4"/>
  <c r="AA44" i="4"/>
  <c r="Y43" i="4"/>
  <c r="H44" i="4"/>
  <c r="H42" i="4"/>
  <c r="Y41" i="4"/>
  <c r="H41" i="4"/>
  <c r="AA40" i="4"/>
  <c r="Y15" i="4" l="1"/>
  <c r="Y14" i="4"/>
  <c r="Y13" i="4"/>
  <c r="Y10" i="4"/>
  <c r="Y5" i="4"/>
  <c r="Y4" i="4"/>
  <c r="Y39" i="4"/>
  <c r="H39" i="4"/>
  <c r="AA38" i="4"/>
  <c r="H38" i="4"/>
  <c r="Y37" i="4"/>
  <c r="H37" i="4"/>
  <c r="Y36" i="4"/>
  <c r="H36" i="4"/>
  <c r="H35" i="4" l="1"/>
  <c r="Y34" i="4"/>
  <c r="W34" i="4"/>
  <c r="K34" i="4"/>
  <c r="H34" i="4"/>
  <c r="X34" i="4" s="1"/>
  <c r="H33" i="4"/>
  <c r="Z32" i="4"/>
  <c r="AA32" i="4"/>
  <c r="G32" i="4"/>
  <c r="Y31" i="4"/>
  <c r="H31" i="4"/>
  <c r="Y30" i="4"/>
  <c r="H30" i="4"/>
  <c r="Y29" i="4"/>
  <c r="Y28" i="4"/>
  <c r="Y27" i="4"/>
  <c r="Z26" i="4"/>
  <c r="Y26" i="4"/>
  <c r="H26" i="4"/>
  <c r="Y25" i="4"/>
  <c r="H25" i="4"/>
  <c r="Y24" i="4"/>
  <c r="Y23" i="4"/>
  <c r="H23" i="4"/>
  <c r="X23" i="4" s="1"/>
  <c r="H22" i="4" l="1"/>
  <c r="H19" i="4"/>
  <c r="H18" i="4"/>
  <c r="H16" i="4"/>
  <c r="H15" i="4" l="1"/>
  <c r="H14" i="4"/>
  <c r="H13" i="4"/>
  <c r="H11" i="4"/>
  <c r="H12" i="4"/>
  <c r="H10" i="4"/>
  <c r="H9" i="4"/>
  <c r="H8" i="4"/>
  <c r="H7" i="4"/>
  <c r="H6" i="4"/>
  <c r="H4" i="4"/>
  <c r="H3" i="4"/>
  <c r="AA12" i="4" l="1"/>
  <c r="AA10" i="4"/>
  <c r="X5" i="4" l="1"/>
  <c r="W5" i="4"/>
  <c r="K5" i="4"/>
  <c r="X15" i="4"/>
  <c r="W15" i="4"/>
  <c r="K15" i="4"/>
  <c r="X9" i="4"/>
  <c r="W9" i="4"/>
  <c r="K9" i="4"/>
  <c r="X11" i="4"/>
  <c r="W11" i="4"/>
  <c r="K11" i="4"/>
  <c r="X3" i="4"/>
  <c r="W3" i="4"/>
  <c r="K3" i="4"/>
  <c r="X12" i="4"/>
  <c r="W12" i="4"/>
  <c r="K12" i="4"/>
  <c r="X18" i="4"/>
  <c r="W18" i="4"/>
  <c r="K18" i="4"/>
  <c r="X36" i="4"/>
  <c r="W36" i="4"/>
  <c r="K36" i="4"/>
  <c r="X40" i="4"/>
  <c r="W40" i="4"/>
  <c r="K40" i="4"/>
  <c r="X53" i="4"/>
  <c r="W53" i="4"/>
  <c r="K53" i="4"/>
  <c r="X52" i="4"/>
  <c r="W52" i="4"/>
  <c r="X51" i="4"/>
  <c r="W51" i="4"/>
  <c r="K51" i="4"/>
  <c r="X50" i="4"/>
  <c r="W50" i="4"/>
  <c r="K50" i="4"/>
  <c r="X49" i="4"/>
  <c r="W49" i="4"/>
  <c r="K49" i="4"/>
  <c r="X48" i="4"/>
  <c r="W48" i="4"/>
  <c r="K48" i="4"/>
  <c r="X44" i="4"/>
  <c r="W44" i="4"/>
  <c r="K44" i="4"/>
  <c r="X45" i="4"/>
  <c r="W45" i="4"/>
  <c r="X43" i="4"/>
  <c r="W43" i="4"/>
  <c r="K43" i="4"/>
  <c r="X42" i="4"/>
  <c r="W42" i="4"/>
  <c r="K42" i="4"/>
  <c r="X41" i="4"/>
  <c r="W41" i="4"/>
  <c r="K41" i="4"/>
  <c r="X38" i="4"/>
  <c r="W38" i="4"/>
  <c r="K38" i="4"/>
  <c r="X39" i="4"/>
  <c r="W39" i="4"/>
  <c r="K39" i="4"/>
  <c r="X37" i="4"/>
  <c r="W37" i="4"/>
  <c r="K37" i="4"/>
  <c r="X35" i="4"/>
  <c r="W35" i="4"/>
  <c r="K35" i="4"/>
  <c r="X33" i="4"/>
  <c r="W33" i="4"/>
  <c r="K33" i="4"/>
  <c r="X32" i="4"/>
  <c r="W32" i="4"/>
  <c r="K32" i="4"/>
  <c r="X31" i="4"/>
  <c r="W31" i="4"/>
  <c r="K31" i="4"/>
  <c r="X30" i="4"/>
  <c r="W30" i="4"/>
  <c r="K30" i="4"/>
  <c r="X29" i="4"/>
  <c r="W29" i="4"/>
  <c r="K29" i="4"/>
  <c r="X28" i="4"/>
  <c r="W28" i="4"/>
  <c r="K28" i="4"/>
  <c r="X27" i="4"/>
  <c r="W27" i="4"/>
  <c r="K27" i="4"/>
  <c r="X26" i="4"/>
  <c r="W26" i="4"/>
  <c r="K26" i="4"/>
  <c r="X25" i="4"/>
  <c r="W25" i="4"/>
  <c r="K25" i="4"/>
  <c r="X24" i="4"/>
  <c r="W24" i="4"/>
  <c r="K24" i="4"/>
  <c r="W23" i="4"/>
  <c r="K23" i="4"/>
  <c r="X22" i="4"/>
  <c r="W22" i="4"/>
  <c r="K22" i="4"/>
  <c r="X21" i="4"/>
  <c r="W21" i="4"/>
  <c r="X20" i="4"/>
  <c r="W20" i="4"/>
  <c r="K20" i="4"/>
  <c r="X19" i="4"/>
  <c r="W19" i="4"/>
  <c r="K19" i="4"/>
  <c r="X17" i="4"/>
  <c r="W17" i="4"/>
  <c r="K17" i="4"/>
  <c r="X16" i="4"/>
  <c r="W16" i="4"/>
  <c r="K16" i="4"/>
  <c r="X14" i="4"/>
  <c r="W14" i="4"/>
  <c r="K14" i="4"/>
  <c r="X13" i="4"/>
  <c r="W13" i="4"/>
  <c r="K13" i="4"/>
  <c r="X10" i="4"/>
  <c r="W10" i="4"/>
  <c r="K10" i="4"/>
  <c r="X8" i="4"/>
  <c r="W8" i="4"/>
  <c r="K8" i="4"/>
  <c r="X7" i="4"/>
  <c r="W7" i="4"/>
  <c r="K7" i="4"/>
  <c r="X6" i="4"/>
  <c r="W6" i="4"/>
  <c r="K6" i="4"/>
  <c r="X4" i="4"/>
  <c r="W4" i="4"/>
  <c r="K4" i="4"/>
</calcChain>
</file>

<file path=xl/comments1.xml><?xml version="1.0" encoding="utf-8"?>
<comments xmlns="http://schemas.openxmlformats.org/spreadsheetml/2006/main">
  <authors>
    <author>kaab3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kaab3: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학년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인원수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휴학생제외</t>
        </r>
        <r>
          <rPr>
            <sz val="9"/>
            <color indexed="81"/>
            <rFont val="Tahoma"/>
            <family val="2"/>
          </rPr>
          <t>)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kaab3: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총면적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자리수
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학년별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kaab3: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주당수업시간</t>
        </r>
        <r>
          <rPr>
            <sz val="9"/>
            <color indexed="81"/>
            <rFont val="Tahoma"/>
            <family val="2"/>
          </rPr>
          <t>/(</t>
        </r>
        <r>
          <rPr>
            <sz val="9"/>
            <color indexed="81"/>
            <rFont val="돋움"/>
            <family val="3"/>
            <charset val="129"/>
          </rPr>
          <t>수강생수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교수수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<sst xmlns="http://schemas.openxmlformats.org/spreadsheetml/2006/main" count="250" uniqueCount="89">
  <si>
    <t>학과</t>
    <phoneticPr fontId="1" type="noConversion"/>
  </si>
  <si>
    <t>국립</t>
  </si>
  <si>
    <t>공과대학</t>
  </si>
  <si>
    <t>건축학/건축공학</t>
  </si>
  <si>
    <t>사립</t>
  </si>
  <si>
    <t>건축학</t>
  </si>
  <si>
    <t>건축대학</t>
  </si>
  <si>
    <t>시립</t>
  </si>
  <si>
    <t>도시과학대</t>
  </si>
  <si>
    <t>설계학점</t>
    <phoneticPr fontId="1" type="noConversion"/>
  </si>
  <si>
    <t>개설년도</t>
    <phoneticPr fontId="4" type="noConversion"/>
  </si>
  <si>
    <t>대학설립유형</t>
    <phoneticPr fontId="4" type="noConversion"/>
  </si>
  <si>
    <t>프로그램소속대학</t>
    <phoneticPr fontId="4" type="noConversion"/>
  </si>
  <si>
    <t>전공구성현황</t>
    <phoneticPr fontId="4" type="noConversion"/>
  </si>
  <si>
    <t>모집구분</t>
    <phoneticPr fontId="1" type="noConversion"/>
  </si>
  <si>
    <t>입학정원(건축학)</t>
    <phoneticPr fontId="1" type="noConversion"/>
  </si>
  <si>
    <t>재학생
(건축학)</t>
    <phoneticPr fontId="1" type="noConversion"/>
  </si>
  <si>
    <t>졸업생</t>
    <phoneticPr fontId="1" type="noConversion"/>
  </si>
  <si>
    <t>교수현황</t>
    <phoneticPr fontId="1" type="noConversion"/>
  </si>
  <si>
    <t>전임교수 대비 재학생 비율</t>
    <phoneticPr fontId="2" type="noConversion"/>
  </si>
  <si>
    <t>스튜디오 1인당 면적(㎡)</t>
    <phoneticPr fontId="1" type="noConversion"/>
  </si>
  <si>
    <t>남</t>
    <phoneticPr fontId="1" type="noConversion"/>
  </si>
  <si>
    <t>여</t>
    <phoneticPr fontId="1" type="noConversion"/>
  </si>
  <si>
    <t>계</t>
    <phoneticPr fontId="1" type="noConversion"/>
  </si>
  <si>
    <t>전임</t>
    <phoneticPr fontId="1" type="noConversion"/>
  </si>
  <si>
    <t>비전임</t>
    <phoneticPr fontId="1" type="noConversion"/>
  </si>
  <si>
    <t>타과 전임, 비전임</t>
    <phoneticPr fontId="1" type="noConversion"/>
  </si>
  <si>
    <t>사립</t>
    <phoneticPr fontId="4" type="noConversion"/>
  </si>
  <si>
    <t>건축학/건축공학</t>
    <phoneticPr fontId="4" type="noConversion"/>
  </si>
  <si>
    <t>학부</t>
    <phoneticPr fontId="1" type="noConversion"/>
  </si>
  <si>
    <t>국립</t>
    <phoneticPr fontId="4" type="noConversion"/>
  </si>
  <si>
    <t>건축설계학과./실내건축설계학과</t>
    <phoneticPr fontId="1" type="noConversion"/>
  </si>
  <si>
    <t>대학원</t>
    <phoneticPr fontId="1" type="noConversion"/>
  </si>
  <si>
    <t>공과대학</t>
    <phoneticPr fontId="4" type="noConversion"/>
  </si>
  <si>
    <t>사립</t>
    <phoneticPr fontId="1" type="noConversion"/>
  </si>
  <si>
    <t>공과대학</t>
    <phoneticPr fontId="1" type="noConversion"/>
  </si>
  <si>
    <t>건축학과</t>
    <phoneticPr fontId="1" type="noConversion"/>
  </si>
  <si>
    <t>과학기술대학</t>
    <phoneticPr fontId="1" type="noConversion"/>
  </si>
  <si>
    <t>건축학/건축공학</t>
    <phoneticPr fontId="1" type="noConversion"/>
  </si>
  <si>
    <t>건축학/건축공학/실내건축</t>
    <phoneticPr fontId="1" type="noConversion"/>
  </si>
  <si>
    <t>건축설계학/건축공학/토목공학</t>
    <phoneticPr fontId="1" type="noConversion"/>
  </si>
  <si>
    <t>국립</t>
    <phoneticPr fontId="1" type="noConversion"/>
  </si>
  <si>
    <t>설계사무소</t>
    <phoneticPr fontId="1" type="noConversion"/>
  </si>
  <si>
    <t>건설회사</t>
    <phoneticPr fontId="1" type="noConversion"/>
  </si>
  <si>
    <t>인테리어</t>
    <phoneticPr fontId="1" type="noConversion"/>
  </si>
  <si>
    <t>공무원</t>
    <phoneticPr fontId="1" type="noConversion"/>
  </si>
  <si>
    <t>유학</t>
    <phoneticPr fontId="1" type="noConversion"/>
  </si>
  <si>
    <t>기타</t>
    <phoneticPr fontId="1" type="noConversion"/>
  </si>
  <si>
    <t>건축사배출현황</t>
    <phoneticPr fontId="1" type="noConversion"/>
  </si>
  <si>
    <t>졸업생 취업현황</t>
    <phoneticPr fontId="1" type="noConversion"/>
  </si>
  <si>
    <t>개인지도시간평균(분)</t>
    <phoneticPr fontId="1" type="noConversion"/>
  </si>
  <si>
    <t>학부</t>
    <phoneticPr fontId="1" type="noConversion"/>
  </si>
  <si>
    <t>건설환경조형대학</t>
    <phoneticPr fontId="1" type="noConversion"/>
  </si>
  <si>
    <t>학과</t>
    <phoneticPr fontId="1" type="noConversion"/>
  </si>
  <si>
    <t>-</t>
    <phoneticPr fontId="1" type="noConversion"/>
  </si>
  <si>
    <t>비고</t>
    <phoneticPr fontId="1" type="noConversion"/>
  </si>
  <si>
    <t>학과</t>
    <phoneticPr fontId="1" type="noConversion"/>
  </si>
  <si>
    <t>건축학</t>
    <phoneticPr fontId="1" type="noConversion"/>
  </si>
  <si>
    <t>건축학</t>
    <phoneticPr fontId="1" type="noConversion"/>
  </si>
  <si>
    <t>건축설계/건축시스템</t>
    <phoneticPr fontId="1" type="noConversion"/>
  </si>
  <si>
    <t>디자인환경대학</t>
    <phoneticPr fontId="1" type="noConversion"/>
  </si>
  <si>
    <t>건축학/전통건축전공</t>
    <phoneticPr fontId="1" type="noConversion"/>
  </si>
  <si>
    <t>건축학</t>
    <phoneticPr fontId="1" type="noConversion"/>
  </si>
  <si>
    <t>건축학/건축공학/도시공학/토목공학</t>
    <phoneticPr fontId="1" type="noConversion"/>
  </si>
  <si>
    <t>건축학/건축사회환경공학</t>
    <phoneticPr fontId="1" type="noConversion"/>
  </si>
  <si>
    <t>건축학</t>
    <phoneticPr fontId="1" type="noConversion"/>
  </si>
  <si>
    <t>2015년도 2월 졸업생 및 취업현황</t>
    <phoneticPr fontId="1" type="noConversion"/>
  </si>
  <si>
    <t>건축대학</t>
    <phoneticPr fontId="1" type="noConversion"/>
  </si>
  <si>
    <t>건축학/건축공학/건축디자인</t>
    <phoneticPr fontId="1" type="noConversion"/>
  </si>
  <si>
    <t>디자인건축융합대학</t>
    <phoneticPr fontId="1" type="noConversion"/>
  </si>
  <si>
    <t>건축학/실내공간디자인학전공</t>
    <phoneticPr fontId="1" type="noConversion"/>
  </si>
  <si>
    <t>사립</t>
    <phoneticPr fontId="1" type="noConversion"/>
  </si>
  <si>
    <t>학과</t>
    <phoneticPr fontId="1" type="noConversion"/>
  </si>
  <si>
    <t>건축도시설계/건축공학</t>
    <phoneticPr fontId="1" type="noConversion"/>
  </si>
  <si>
    <t>이공대학</t>
    <phoneticPr fontId="1" type="noConversion"/>
  </si>
  <si>
    <t>건설교통대학</t>
    <phoneticPr fontId="1" type="noConversion"/>
  </si>
  <si>
    <t>국립</t>
    <phoneticPr fontId="1" type="noConversion"/>
  </si>
  <si>
    <t>미술원</t>
    <phoneticPr fontId="1" type="noConversion"/>
  </si>
  <si>
    <t>건축과</t>
    <phoneticPr fontId="1" type="noConversion"/>
  </si>
  <si>
    <t>학과</t>
    <phoneticPr fontId="1" type="noConversion"/>
  </si>
  <si>
    <t>건축학</t>
    <phoneticPr fontId="1" type="noConversion"/>
  </si>
  <si>
    <t>2015년도 8월 졸업생 수 및 취업현황</t>
    <phoneticPr fontId="1" type="noConversion"/>
  </si>
  <si>
    <t>건축학</t>
    <phoneticPr fontId="1" type="noConversion"/>
  </si>
  <si>
    <t>건축대학</t>
    <phoneticPr fontId="1" type="noConversion"/>
  </si>
  <si>
    <t>건축학/실내건축학</t>
    <phoneticPr fontId="1" type="noConversion"/>
  </si>
  <si>
    <t>건축학</t>
    <phoneticPr fontId="1" type="noConversion"/>
  </si>
  <si>
    <t xml:space="preserve">27 / 50 </t>
    <phoneticPr fontId="1" type="noConversion"/>
  </si>
  <si>
    <t>2년 과정:27학점, 3년과정:50학점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</si>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</sst>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0_ "/>
    <numFmt numFmtId="178" formatCode="0_ "/>
    <numFmt numFmtId="179" formatCode="0;_⇿"/>
    <numFmt numFmtId="180" formatCode="0.0;_탿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color rgb="FF000000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ajor"/>
    </font>
    <font>
      <b/>
      <sz val="7"/>
      <color theme="1"/>
      <name val="맑은 고딕"/>
      <family val="3"/>
      <charset val="129"/>
      <scheme val="minor"/>
    </font>
    <font>
      <b/>
      <sz val="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0" fillId="0" borderId="31" xfId="0" applyFill="1" applyBorder="1">
      <alignment vertical="center"/>
    </xf>
    <xf numFmtId="0" fontId="0" fillId="0" borderId="30" xfId="0" applyFill="1" applyBorder="1">
      <alignment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3"/>
  <sheetViews>
    <sheetView tabSelected="1" zoomScaleNormal="100" workbookViewId="0">
      <pane ySplit="2" topLeftCell="A3" activePane="bottomLeft" state="frozen"/>
      <selection pane="bottomLeft" activeCell="E1" sqref="E1:E2"/>
    </sheetView>
  </sheetViews>
  <sheetFormatPr defaultRowHeight="16.5" x14ac:dyDescent="0.3"/>
  <cols>
    <col min="1" max="1" width="4.25" style="16" customWidth="1"/>
    <col min="2" max="2" width="7" style="14" hidden="1" customWidth="1"/>
    <col min="3" max="3" width="5.75" style="14" customWidth="1"/>
    <col min="4" max="4" width="6.125" style="14" customWidth="1"/>
    <col min="5" max="5" width="24.5" style="14" bestFit="1" customWidth="1"/>
    <col min="6" max="6" width="4.875" style="14" customWidth="1"/>
    <col min="7" max="27" width="5.625" style="14" customWidth="1"/>
    <col min="28" max="28" width="33" style="20" bestFit="1" customWidth="1"/>
  </cols>
  <sheetData>
    <row r="1" spans="1:28" x14ac:dyDescent="0.3">
      <c r="A1" s="72"/>
      <c r="B1" s="78" t="s">
        <v>10</v>
      </c>
      <c r="C1" s="78" t="s">
        <v>11</v>
      </c>
      <c r="D1" s="78" t="s">
        <v>12</v>
      </c>
      <c r="E1" s="78" t="s">
        <v>13</v>
      </c>
      <c r="F1" s="82" t="s">
        <v>14</v>
      </c>
      <c r="G1" s="82" t="s">
        <v>15</v>
      </c>
      <c r="H1" s="80" t="s">
        <v>16</v>
      </c>
      <c r="I1" s="85" t="s">
        <v>17</v>
      </c>
      <c r="J1" s="86"/>
      <c r="K1" s="87"/>
      <c r="L1" s="85" t="s">
        <v>49</v>
      </c>
      <c r="M1" s="86"/>
      <c r="N1" s="86"/>
      <c r="O1" s="86"/>
      <c r="P1" s="86"/>
      <c r="Q1" s="86"/>
      <c r="R1" s="86"/>
      <c r="S1" s="87"/>
      <c r="T1" s="85" t="s">
        <v>18</v>
      </c>
      <c r="U1" s="86"/>
      <c r="V1" s="86"/>
      <c r="W1" s="88"/>
      <c r="X1" s="89" t="s">
        <v>19</v>
      </c>
      <c r="Y1" s="76" t="s">
        <v>20</v>
      </c>
      <c r="Z1" s="78" t="s">
        <v>9</v>
      </c>
      <c r="AA1" s="80" t="s">
        <v>50</v>
      </c>
      <c r="AB1" s="74" t="s">
        <v>55</v>
      </c>
    </row>
    <row r="2" spans="1:28" ht="30" thickBot="1" x14ac:dyDescent="0.35">
      <c r="A2" s="73"/>
      <c r="B2" s="79"/>
      <c r="C2" s="79"/>
      <c r="D2" s="79"/>
      <c r="E2" s="79"/>
      <c r="F2" s="83"/>
      <c r="G2" s="83"/>
      <c r="H2" s="84"/>
      <c r="I2" s="1" t="s">
        <v>21</v>
      </c>
      <c r="J2" s="10" t="s">
        <v>22</v>
      </c>
      <c r="K2" s="2" t="s">
        <v>23</v>
      </c>
      <c r="L2" s="11" t="s">
        <v>42</v>
      </c>
      <c r="M2" s="11" t="s">
        <v>43</v>
      </c>
      <c r="N2" s="11" t="s">
        <v>44</v>
      </c>
      <c r="O2" s="11" t="s">
        <v>45</v>
      </c>
      <c r="P2" s="11" t="s">
        <v>46</v>
      </c>
      <c r="Q2" s="11" t="s">
        <v>32</v>
      </c>
      <c r="R2" s="11" t="s">
        <v>47</v>
      </c>
      <c r="S2" s="4" t="s">
        <v>48</v>
      </c>
      <c r="T2" s="1" t="s">
        <v>24</v>
      </c>
      <c r="U2" s="10" t="s">
        <v>25</v>
      </c>
      <c r="V2" s="13" t="s">
        <v>26</v>
      </c>
      <c r="W2" s="10" t="s">
        <v>23</v>
      </c>
      <c r="X2" s="90"/>
      <c r="Y2" s="77"/>
      <c r="Z2" s="79"/>
      <c r="AA2" s="81"/>
      <c r="AB2" s="75"/>
    </row>
    <row r="3" spans="1:28" s="16" customFormat="1" ht="20.100000000000001" customHeight="1" x14ac:dyDescent="0.3">
      <c r="A3" s="29">
        <v>1</v>
      </c>
      <c r="B3" s="21">
        <v>2004</v>
      </c>
      <c r="C3" s="21" t="s">
        <v>34</v>
      </c>
      <c r="D3" s="21" t="s">
        <v>35</v>
      </c>
      <c r="E3" s="21" t="s">
        <v>38</v>
      </c>
      <c r="F3" s="22" t="s">
        <v>29</v>
      </c>
      <c r="G3" s="22">
        <v>60</v>
      </c>
      <c r="H3" s="23">
        <f>58+58+32+26+15</f>
        <v>189</v>
      </c>
      <c r="I3" s="30">
        <v>10</v>
      </c>
      <c r="J3" s="22">
        <v>4</v>
      </c>
      <c r="K3" s="31">
        <f t="shared" ref="K3:K34" si="0">SUM(I3:J3)</f>
        <v>14</v>
      </c>
      <c r="L3" s="32">
        <v>4</v>
      </c>
      <c r="M3" s="32">
        <v>0</v>
      </c>
      <c r="N3" s="32">
        <v>0</v>
      </c>
      <c r="O3" s="32">
        <v>0</v>
      </c>
      <c r="P3" s="32">
        <v>0</v>
      </c>
      <c r="Q3" s="32">
        <v>2</v>
      </c>
      <c r="R3" s="32">
        <v>0</v>
      </c>
      <c r="S3" s="32"/>
      <c r="T3" s="30">
        <v>11</v>
      </c>
      <c r="U3" s="22">
        <v>20</v>
      </c>
      <c r="V3" s="22">
        <v>0</v>
      </c>
      <c r="W3" s="22">
        <f t="shared" ref="W3:W34" si="1">SUM(T3:V3)</f>
        <v>31</v>
      </c>
      <c r="X3" s="33">
        <f t="shared" ref="X3:X22" si="2">H3/T3</f>
        <v>17.181818181818183</v>
      </c>
      <c r="Y3" s="34">
        <f>732.39/189</f>
        <v>3.8750793650793649</v>
      </c>
      <c r="Z3" s="22">
        <v>60</v>
      </c>
      <c r="AA3" s="35">
        <v>69.2</v>
      </c>
      <c r="AB3" s="18"/>
    </row>
    <row r="4" spans="1:28" ht="20.100000000000001" customHeight="1" x14ac:dyDescent="0.3">
      <c r="A4" s="36">
        <v>2</v>
      </c>
      <c r="B4" s="5">
        <v>2002</v>
      </c>
      <c r="C4" s="5" t="s">
        <v>1</v>
      </c>
      <c r="D4" s="5" t="s">
        <v>2</v>
      </c>
      <c r="E4" s="5" t="s">
        <v>3</v>
      </c>
      <c r="F4" s="3" t="s">
        <v>0</v>
      </c>
      <c r="G4" s="3">
        <v>28</v>
      </c>
      <c r="H4" s="12">
        <f>35+34+33+26+28</f>
        <v>156</v>
      </c>
      <c r="I4" s="37">
        <v>16</v>
      </c>
      <c r="J4" s="3">
        <v>12</v>
      </c>
      <c r="K4" s="38">
        <f t="shared" si="0"/>
        <v>28</v>
      </c>
      <c r="L4" s="9">
        <v>18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2</v>
      </c>
      <c r="S4" s="9"/>
      <c r="T4" s="37">
        <v>10</v>
      </c>
      <c r="U4" s="3">
        <v>18</v>
      </c>
      <c r="V4" s="3">
        <v>0</v>
      </c>
      <c r="W4" s="3">
        <f t="shared" si="1"/>
        <v>28</v>
      </c>
      <c r="X4" s="39">
        <f t="shared" si="2"/>
        <v>15.6</v>
      </c>
      <c r="Y4" s="40">
        <f>1689/420</f>
        <v>4.0214285714285714</v>
      </c>
      <c r="Z4" s="3">
        <v>60</v>
      </c>
      <c r="AA4" s="12">
        <v>75.5</v>
      </c>
      <c r="AB4" s="19"/>
    </row>
    <row r="5" spans="1:28" ht="20.100000000000001" customHeight="1" x14ac:dyDescent="0.3">
      <c r="A5" s="36">
        <v>3</v>
      </c>
      <c r="B5" s="5">
        <v>1996</v>
      </c>
      <c r="C5" s="5" t="s">
        <v>4</v>
      </c>
      <c r="D5" s="5" t="s">
        <v>54</v>
      </c>
      <c r="E5" s="5" t="s">
        <v>31</v>
      </c>
      <c r="F5" s="3" t="s">
        <v>32</v>
      </c>
      <c r="G5" s="3">
        <v>30</v>
      </c>
      <c r="H5" s="12">
        <v>65</v>
      </c>
      <c r="I5" s="37">
        <v>6</v>
      </c>
      <c r="J5" s="3">
        <v>9</v>
      </c>
      <c r="K5" s="38">
        <f t="shared" si="0"/>
        <v>15</v>
      </c>
      <c r="L5" s="9">
        <v>6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9</v>
      </c>
      <c r="S5" s="9"/>
      <c r="T5" s="37">
        <v>6</v>
      </c>
      <c r="U5" s="3">
        <v>0</v>
      </c>
      <c r="V5" s="3">
        <v>0</v>
      </c>
      <c r="W5" s="3">
        <f t="shared" si="1"/>
        <v>6</v>
      </c>
      <c r="X5" s="39">
        <f t="shared" si="2"/>
        <v>10.833333333333334</v>
      </c>
      <c r="Y5" s="40">
        <f>795.6/144</f>
        <v>5.5250000000000004</v>
      </c>
      <c r="Z5" s="41" t="s">
        <v>86</v>
      </c>
      <c r="AA5" s="12">
        <v>86.75</v>
      </c>
      <c r="AB5" s="19" t="s">
        <v>87</v>
      </c>
    </row>
    <row r="6" spans="1:28" ht="20.100000000000001" customHeight="1" x14ac:dyDescent="0.3">
      <c r="A6" s="36">
        <v>4</v>
      </c>
      <c r="B6" s="5">
        <v>2002</v>
      </c>
      <c r="C6" s="5" t="s">
        <v>4</v>
      </c>
      <c r="D6" s="5" t="s">
        <v>2</v>
      </c>
      <c r="E6" s="5" t="s">
        <v>3</v>
      </c>
      <c r="F6" s="3" t="s">
        <v>29</v>
      </c>
      <c r="G6" s="3">
        <v>60</v>
      </c>
      <c r="H6" s="12">
        <f>65+59+52+73+65</f>
        <v>314</v>
      </c>
      <c r="I6" s="37">
        <v>28</v>
      </c>
      <c r="J6" s="3">
        <v>19</v>
      </c>
      <c r="K6" s="38">
        <f t="shared" si="0"/>
        <v>47</v>
      </c>
      <c r="L6" s="9">
        <v>23</v>
      </c>
      <c r="M6" s="9">
        <v>3</v>
      </c>
      <c r="N6" s="9">
        <v>1</v>
      </c>
      <c r="O6" s="9">
        <v>1</v>
      </c>
      <c r="P6" s="9">
        <v>1</v>
      </c>
      <c r="Q6" s="9">
        <v>0</v>
      </c>
      <c r="R6" s="9">
        <v>18</v>
      </c>
      <c r="S6" s="9"/>
      <c r="T6" s="37">
        <v>9</v>
      </c>
      <c r="U6" s="3">
        <v>25</v>
      </c>
      <c r="V6" s="3">
        <v>0</v>
      </c>
      <c r="W6" s="3">
        <f t="shared" si="1"/>
        <v>34</v>
      </c>
      <c r="X6" s="39">
        <f t="shared" si="2"/>
        <v>34.888888888888886</v>
      </c>
      <c r="Y6" s="40">
        <v>3.2</v>
      </c>
      <c r="Z6" s="24">
        <v>48</v>
      </c>
      <c r="AA6" s="42">
        <v>41.59</v>
      </c>
      <c r="AB6" s="19"/>
    </row>
    <row r="7" spans="1:28" ht="20.100000000000001" customHeight="1" x14ac:dyDescent="0.3">
      <c r="A7" s="36">
        <v>5</v>
      </c>
      <c r="B7" s="5">
        <v>2002</v>
      </c>
      <c r="C7" s="5" t="s">
        <v>1</v>
      </c>
      <c r="D7" s="5" t="s">
        <v>2</v>
      </c>
      <c r="E7" s="5" t="s">
        <v>3</v>
      </c>
      <c r="F7" s="3" t="s">
        <v>29</v>
      </c>
      <c r="G7" s="3">
        <v>40</v>
      </c>
      <c r="H7" s="12">
        <f>41+44+53+61+40</f>
        <v>239</v>
      </c>
      <c r="I7" s="37">
        <v>14</v>
      </c>
      <c r="J7" s="3">
        <v>9</v>
      </c>
      <c r="K7" s="38">
        <f t="shared" si="0"/>
        <v>23</v>
      </c>
      <c r="L7" s="9">
        <v>7</v>
      </c>
      <c r="M7" s="9">
        <v>0</v>
      </c>
      <c r="N7" s="9">
        <v>0</v>
      </c>
      <c r="O7" s="9">
        <v>1</v>
      </c>
      <c r="P7" s="9">
        <v>0</v>
      </c>
      <c r="Q7" s="9">
        <v>2</v>
      </c>
      <c r="R7" s="9">
        <v>13</v>
      </c>
      <c r="S7" s="9"/>
      <c r="T7" s="37">
        <v>10</v>
      </c>
      <c r="U7" s="3">
        <v>28</v>
      </c>
      <c r="V7" s="3">
        <v>1</v>
      </c>
      <c r="W7" s="3">
        <f t="shared" si="1"/>
        <v>39</v>
      </c>
      <c r="X7" s="39">
        <f t="shared" si="2"/>
        <v>23.9</v>
      </c>
      <c r="Y7" s="40">
        <v>4.66</v>
      </c>
      <c r="Z7" s="24">
        <v>50</v>
      </c>
      <c r="AA7" s="42">
        <v>49.78</v>
      </c>
      <c r="AB7" s="19"/>
    </row>
    <row r="8" spans="1:28" ht="20.100000000000001" customHeight="1" x14ac:dyDescent="0.3">
      <c r="A8" s="43">
        <v>6</v>
      </c>
      <c r="B8" s="45">
        <v>2002</v>
      </c>
      <c r="C8" s="45" t="s">
        <v>1</v>
      </c>
      <c r="D8" s="45" t="s">
        <v>2</v>
      </c>
      <c r="E8" s="45" t="s">
        <v>57</v>
      </c>
      <c r="F8" s="44" t="s">
        <v>0</v>
      </c>
      <c r="G8" s="44">
        <v>30</v>
      </c>
      <c r="H8" s="46">
        <f>30+34+41+25+38</f>
        <v>168</v>
      </c>
      <c r="I8" s="47">
        <v>11</v>
      </c>
      <c r="J8" s="44">
        <v>16</v>
      </c>
      <c r="K8" s="48">
        <f t="shared" si="0"/>
        <v>27</v>
      </c>
      <c r="L8" s="49">
        <v>17</v>
      </c>
      <c r="M8" s="49">
        <v>1</v>
      </c>
      <c r="N8" s="49">
        <v>0</v>
      </c>
      <c r="O8" s="49">
        <v>0</v>
      </c>
      <c r="P8" s="49">
        <v>0</v>
      </c>
      <c r="Q8" s="49">
        <v>1</v>
      </c>
      <c r="R8" s="49">
        <v>8</v>
      </c>
      <c r="S8" s="49"/>
      <c r="T8" s="47">
        <v>6</v>
      </c>
      <c r="U8" s="44">
        <v>26</v>
      </c>
      <c r="V8" s="44">
        <v>1</v>
      </c>
      <c r="W8" s="44">
        <f t="shared" si="1"/>
        <v>33</v>
      </c>
      <c r="X8" s="50">
        <f t="shared" si="2"/>
        <v>28</v>
      </c>
      <c r="Y8" s="51">
        <v>4.5199999999999996</v>
      </c>
      <c r="Z8" s="24">
        <v>50</v>
      </c>
      <c r="AA8" s="42">
        <v>58.08</v>
      </c>
      <c r="AB8" s="19"/>
    </row>
    <row r="9" spans="1:28" ht="20.100000000000001" customHeight="1" x14ac:dyDescent="0.3">
      <c r="A9" s="36">
        <v>7</v>
      </c>
      <c r="B9" s="5">
        <v>2007</v>
      </c>
      <c r="C9" s="5" t="s">
        <v>34</v>
      </c>
      <c r="D9" s="5" t="s">
        <v>35</v>
      </c>
      <c r="E9" s="5" t="s">
        <v>58</v>
      </c>
      <c r="F9" s="3" t="s">
        <v>53</v>
      </c>
      <c r="G9" s="3">
        <v>50</v>
      </c>
      <c r="H9" s="12">
        <f>50+41+54+48+60</f>
        <v>253</v>
      </c>
      <c r="I9" s="37">
        <v>14</v>
      </c>
      <c r="J9" s="3">
        <v>22</v>
      </c>
      <c r="K9" s="38">
        <f t="shared" si="0"/>
        <v>36</v>
      </c>
      <c r="L9" s="9">
        <v>20</v>
      </c>
      <c r="M9" s="9">
        <v>2</v>
      </c>
      <c r="N9" s="9">
        <v>0</v>
      </c>
      <c r="O9" s="9">
        <v>0</v>
      </c>
      <c r="P9" s="9">
        <v>1</v>
      </c>
      <c r="Q9" s="9">
        <v>2</v>
      </c>
      <c r="R9" s="9">
        <v>11</v>
      </c>
      <c r="S9" s="9"/>
      <c r="T9" s="37">
        <v>11</v>
      </c>
      <c r="U9" s="3">
        <v>40</v>
      </c>
      <c r="V9" s="3">
        <v>1</v>
      </c>
      <c r="W9" s="3">
        <f t="shared" si="1"/>
        <v>52</v>
      </c>
      <c r="X9" s="39">
        <f t="shared" si="2"/>
        <v>23</v>
      </c>
      <c r="Y9" s="40">
        <v>2.5099999999999998</v>
      </c>
      <c r="Z9" s="15">
        <f>6+12+12+12+12</f>
        <v>54</v>
      </c>
      <c r="AA9" s="52">
        <v>58.08</v>
      </c>
      <c r="AB9" s="19"/>
    </row>
    <row r="10" spans="1:28" ht="20.100000000000001" customHeight="1" x14ac:dyDescent="0.3">
      <c r="A10" s="43">
        <v>8</v>
      </c>
      <c r="B10" s="45">
        <v>2003</v>
      </c>
      <c r="C10" s="45" t="s">
        <v>4</v>
      </c>
      <c r="D10" s="45" t="s">
        <v>2</v>
      </c>
      <c r="E10" s="45" t="s">
        <v>5</v>
      </c>
      <c r="F10" s="44" t="s">
        <v>0</v>
      </c>
      <c r="G10" s="24">
        <v>40</v>
      </c>
      <c r="H10" s="46">
        <f>61+52+46+49+54</f>
        <v>262</v>
      </c>
      <c r="I10" s="47">
        <v>10</v>
      </c>
      <c r="J10" s="44">
        <v>3</v>
      </c>
      <c r="K10" s="48">
        <f t="shared" si="0"/>
        <v>13</v>
      </c>
      <c r="L10" s="49">
        <v>2</v>
      </c>
      <c r="M10" s="49">
        <v>4</v>
      </c>
      <c r="N10" s="49">
        <v>1</v>
      </c>
      <c r="O10" s="49">
        <v>0</v>
      </c>
      <c r="P10" s="49"/>
      <c r="Q10" s="49">
        <v>1</v>
      </c>
      <c r="R10" s="49">
        <v>24</v>
      </c>
      <c r="S10" s="49"/>
      <c r="T10" s="47">
        <v>11</v>
      </c>
      <c r="U10" s="44">
        <v>41</v>
      </c>
      <c r="V10" s="44">
        <v>0</v>
      </c>
      <c r="W10" s="44">
        <f t="shared" si="1"/>
        <v>52</v>
      </c>
      <c r="X10" s="50">
        <f t="shared" si="2"/>
        <v>23.818181818181817</v>
      </c>
      <c r="Y10" s="53">
        <f>1659.3/408</f>
        <v>4.0669117647058819</v>
      </c>
      <c r="Z10" s="24">
        <v>48</v>
      </c>
      <c r="AA10" s="54">
        <f>421.23/8</f>
        <v>52.653750000000002</v>
      </c>
      <c r="AB10" s="19" t="s">
        <v>81</v>
      </c>
    </row>
    <row r="11" spans="1:28" ht="20.100000000000001" customHeight="1" x14ac:dyDescent="0.3">
      <c r="A11" s="36">
        <v>9</v>
      </c>
      <c r="B11" s="5">
        <v>2002</v>
      </c>
      <c r="C11" s="5" t="s">
        <v>41</v>
      </c>
      <c r="D11" s="5" t="s">
        <v>35</v>
      </c>
      <c r="E11" s="5" t="s">
        <v>58</v>
      </c>
      <c r="F11" s="3" t="s">
        <v>53</v>
      </c>
      <c r="G11" s="3">
        <v>36</v>
      </c>
      <c r="H11" s="12">
        <f>34+34+31+30+31</f>
        <v>160</v>
      </c>
      <c r="I11" s="37">
        <v>14</v>
      </c>
      <c r="J11" s="3">
        <v>17</v>
      </c>
      <c r="K11" s="38">
        <f t="shared" si="0"/>
        <v>31</v>
      </c>
      <c r="L11" s="9">
        <v>18</v>
      </c>
      <c r="M11" s="9">
        <v>3</v>
      </c>
      <c r="N11" s="9">
        <v>0</v>
      </c>
      <c r="O11" s="9">
        <v>1</v>
      </c>
      <c r="P11" s="9">
        <v>0</v>
      </c>
      <c r="Q11" s="9">
        <v>1</v>
      </c>
      <c r="R11" s="9">
        <v>8</v>
      </c>
      <c r="S11" s="9"/>
      <c r="T11" s="37">
        <v>9</v>
      </c>
      <c r="U11" s="3">
        <v>20</v>
      </c>
      <c r="V11" s="3">
        <v>0</v>
      </c>
      <c r="W11" s="3">
        <f t="shared" si="1"/>
        <v>29</v>
      </c>
      <c r="X11" s="39">
        <f t="shared" si="2"/>
        <v>17.777777777777779</v>
      </c>
      <c r="Y11" s="40">
        <v>4.29</v>
      </c>
      <c r="Z11" s="3">
        <v>60</v>
      </c>
      <c r="AA11" s="52">
        <v>66.790000000000006</v>
      </c>
      <c r="AB11" s="19"/>
    </row>
    <row r="12" spans="1:28" ht="20.100000000000001" customHeight="1" x14ac:dyDescent="0.3">
      <c r="A12" s="43">
        <v>10</v>
      </c>
      <c r="B12" s="45">
        <v>2003</v>
      </c>
      <c r="C12" s="45" t="s">
        <v>34</v>
      </c>
      <c r="D12" s="45" t="s">
        <v>35</v>
      </c>
      <c r="E12" s="45" t="s">
        <v>58</v>
      </c>
      <c r="F12" s="44" t="s">
        <v>53</v>
      </c>
      <c r="G12" s="44">
        <v>35</v>
      </c>
      <c r="H12" s="46">
        <f>61+52+46+49+54</f>
        <v>262</v>
      </c>
      <c r="I12" s="47">
        <v>35</v>
      </c>
      <c r="J12" s="44">
        <v>16</v>
      </c>
      <c r="K12" s="48">
        <f t="shared" si="0"/>
        <v>51</v>
      </c>
      <c r="L12" s="49">
        <v>9</v>
      </c>
      <c r="M12" s="49">
        <v>4</v>
      </c>
      <c r="N12" s="49">
        <v>2</v>
      </c>
      <c r="O12" s="49">
        <v>0</v>
      </c>
      <c r="P12" s="49">
        <v>0</v>
      </c>
      <c r="Q12" s="49">
        <v>1</v>
      </c>
      <c r="R12" s="49">
        <v>35</v>
      </c>
      <c r="S12" s="49"/>
      <c r="T12" s="47">
        <v>8</v>
      </c>
      <c r="U12" s="44">
        <v>22</v>
      </c>
      <c r="V12" s="44">
        <v>0</v>
      </c>
      <c r="W12" s="44">
        <f t="shared" si="1"/>
        <v>30</v>
      </c>
      <c r="X12" s="50">
        <f t="shared" si="2"/>
        <v>32.75</v>
      </c>
      <c r="Y12" s="51">
        <v>3.56</v>
      </c>
      <c r="Z12" s="24">
        <v>60</v>
      </c>
      <c r="AA12" s="52">
        <f>769.93/10</f>
        <v>76.992999999999995</v>
      </c>
      <c r="AB12" s="19"/>
    </row>
    <row r="13" spans="1:28" ht="20.100000000000001" customHeight="1" x14ac:dyDescent="0.3">
      <c r="A13" s="36">
        <v>11</v>
      </c>
      <c r="B13" s="5">
        <v>2002</v>
      </c>
      <c r="C13" s="5" t="s">
        <v>4</v>
      </c>
      <c r="D13" s="5" t="s">
        <v>6</v>
      </c>
      <c r="E13" s="5" t="s">
        <v>59</v>
      </c>
      <c r="F13" s="3" t="s">
        <v>56</v>
      </c>
      <c r="G13" s="3">
        <v>65</v>
      </c>
      <c r="H13" s="12">
        <f>71+72+50+50+84</f>
        <v>327</v>
      </c>
      <c r="I13" s="37">
        <v>9</v>
      </c>
      <c r="J13" s="3">
        <v>3</v>
      </c>
      <c r="K13" s="38">
        <f t="shared" si="0"/>
        <v>12</v>
      </c>
      <c r="L13" s="9">
        <v>1</v>
      </c>
      <c r="M13" s="9">
        <v>1</v>
      </c>
      <c r="N13" s="9">
        <v>1</v>
      </c>
      <c r="O13" s="9">
        <v>0</v>
      </c>
      <c r="P13" s="9">
        <v>1</v>
      </c>
      <c r="Q13" s="9">
        <v>2</v>
      </c>
      <c r="R13" s="9">
        <v>23</v>
      </c>
      <c r="S13" s="9"/>
      <c r="T13" s="37">
        <v>11</v>
      </c>
      <c r="U13" s="3">
        <v>21</v>
      </c>
      <c r="V13" s="3">
        <v>0</v>
      </c>
      <c r="W13" s="3">
        <f t="shared" si="1"/>
        <v>32</v>
      </c>
      <c r="X13" s="39">
        <f t="shared" si="2"/>
        <v>29.727272727272727</v>
      </c>
      <c r="Y13" s="40">
        <f>2110.34/649</f>
        <v>3.2516795069337445</v>
      </c>
      <c r="Z13" s="24">
        <v>46</v>
      </c>
      <c r="AA13" s="42">
        <v>65.2</v>
      </c>
      <c r="AB13" s="19" t="s">
        <v>81</v>
      </c>
    </row>
    <row r="14" spans="1:28" ht="20.100000000000001" customHeight="1" x14ac:dyDescent="0.3">
      <c r="A14" s="36">
        <v>12</v>
      </c>
      <c r="B14" s="5">
        <v>2002</v>
      </c>
      <c r="C14" s="5" t="s">
        <v>4</v>
      </c>
      <c r="D14" s="5" t="s">
        <v>6</v>
      </c>
      <c r="E14" s="5" t="s">
        <v>3</v>
      </c>
      <c r="F14" s="3" t="s">
        <v>0</v>
      </c>
      <c r="G14" s="3">
        <v>50</v>
      </c>
      <c r="H14" s="12">
        <f>48+52+38+47+74</f>
        <v>259</v>
      </c>
      <c r="I14" s="37">
        <v>2</v>
      </c>
      <c r="J14" s="3">
        <v>1</v>
      </c>
      <c r="K14" s="38">
        <f t="shared" si="0"/>
        <v>3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3</v>
      </c>
      <c r="S14" s="9"/>
      <c r="T14" s="37">
        <v>9</v>
      </c>
      <c r="U14" s="3">
        <v>3</v>
      </c>
      <c r="V14" s="3">
        <v>0</v>
      </c>
      <c r="W14" s="3">
        <f t="shared" si="1"/>
        <v>12</v>
      </c>
      <c r="X14" s="39">
        <f t="shared" si="2"/>
        <v>28.777777777777779</v>
      </c>
      <c r="Y14" s="40">
        <f>2639.6/519</f>
        <v>5.085934489402697</v>
      </c>
      <c r="Z14" s="24">
        <v>54</v>
      </c>
      <c r="AA14" s="12">
        <v>68.2</v>
      </c>
      <c r="AB14" s="19" t="s">
        <v>81</v>
      </c>
    </row>
    <row r="15" spans="1:28" ht="20.100000000000001" customHeight="1" x14ac:dyDescent="0.3">
      <c r="A15" s="36">
        <v>13</v>
      </c>
      <c r="B15" s="5">
        <v>2005</v>
      </c>
      <c r="C15" s="5" t="s">
        <v>34</v>
      </c>
      <c r="D15" s="5" t="s">
        <v>35</v>
      </c>
      <c r="E15" s="5" t="s">
        <v>38</v>
      </c>
      <c r="F15" s="3" t="s">
        <v>29</v>
      </c>
      <c r="G15" s="3">
        <v>25</v>
      </c>
      <c r="H15" s="12">
        <f>24+27+22+25+40</f>
        <v>138</v>
      </c>
      <c r="I15" s="37">
        <v>26</v>
      </c>
      <c r="J15" s="3">
        <v>10</v>
      </c>
      <c r="K15" s="38">
        <f t="shared" si="0"/>
        <v>36</v>
      </c>
      <c r="L15" s="9">
        <v>15</v>
      </c>
      <c r="M15" s="9">
        <v>3</v>
      </c>
      <c r="N15" s="9">
        <v>0</v>
      </c>
      <c r="O15" s="9">
        <v>0</v>
      </c>
      <c r="P15" s="9">
        <v>0</v>
      </c>
      <c r="Q15" s="9">
        <v>3</v>
      </c>
      <c r="R15" s="9">
        <v>15</v>
      </c>
      <c r="S15" s="9"/>
      <c r="T15" s="37">
        <v>5</v>
      </c>
      <c r="U15" s="3">
        <v>12</v>
      </c>
      <c r="V15" s="3">
        <v>6</v>
      </c>
      <c r="W15" s="3">
        <f t="shared" si="1"/>
        <v>23</v>
      </c>
      <c r="X15" s="39">
        <f t="shared" si="2"/>
        <v>27.6</v>
      </c>
      <c r="Y15" s="40">
        <f>1622.82/345</f>
        <v>4.7038260869565214</v>
      </c>
      <c r="Z15" s="3">
        <v>55</v>
      </c>
      <c r="AA15" s="52">
        <v>52</v>
      </c>
      <c r="AB15" s="19"/>
    </row>
    <row r="16" spans="1:28" ht="20.100000000000001" customHeight="1" x14ac:dyDescent="0.3">
      <c r="A16" s="36">
        <v>14</v>
      </c>
      <c r="B16" s="5">
        <v>2004</v>
      </c>
      <c r="C16" s="5" t="s">
        <v>34</v>
      </c>
      <c r="D16" s="5" t="s">
        <v>35</v>
      </c>
      <c r="E16" s="5" t="s">
        <v>40</v>
      </c>
      <c r="F16" s="3" t="s">
        <v>29</v>
      </c>
      <c r="G16" s="3">
        <v>40</v>
      </c>
      <c r="H16" s="12">
        <f>70+39+31+31+23</f>
        <v>194</v>
      </c>
      <c r="I16" s="37">
        <v>9</v>
      </c>
      <c r="J16" s="3">
        <v>10</v>
      </c>
      <c r="K16" s="38">
        <f t="shared" si="0"/>
        <v>19</v>
      </c>
      <c r="L16" s="9">
        <v>11</v>
      </c>
      <c r="M16" s="9">
        <v>0</v>
      </c>
      <c r="N16" s="9">
        <v>1</v>
      </c>
      <c r="O16" s="9">
        <v>0</v>
      </c>
      <c r="P16" s="9">
        <v>0</v>
      </c>
      <c r="Q16" s="9">
        <v>7</v>
      </c>
      <c r="R16" s="9">
        <v>6</v>
      </c>
      <c r="S16" s="9"/>
      <c r="T16" s="37">
        <v>4</v>
      </c>
      <c r="U16" s="3">
        <v>11</v>
      </c>
      <c r="V16" s="3">
        <v>0</v>
      </c>
      <c r="W16" s="3">
        <f t="shared" si="1"/>
        <v>15</v>
      </c>
      <c r="X16" s="39">
        <f t="shared" si="2"/>
        <v>48.5</v>
      </c>
      <c r="Y16" s="40">
        <v>10.25</v>
      </c>
      <c r="Z16" s="24">
        <f>2+6+6+6+6+6+6+5+5</f>
        <v>48</v>
      </c>
      <c r="AA16" s="55">
        <v>57.1</v>
      </c>
      <c r="AB16" s="19"/>
    </row>
    <row r="17" spans="1:28" ht="20.100000000000001" customHeight="1" x14ac:dyDescent="0.3">
      <c r="A17" s="36">
        <v>15</v>
      </c>
      <c r="B17" s="5">
        <v>2002</v>
      </c>
      <c r="C17" s="5" t="s">
        <v>4</v>
      </c>
      <c r="D17" s="5" t="s">
        <v>60</v>
      </c>
      <c r="E17" s="5" t="s">
        <v>57</v>
      </c>
      <c r="F17" s="3" t="s">
        <v>0</v>
      </c>
      <c r="G17" s="3">
        <v>50</v>
      </c>
      <c r="H17" s="12">
        <v>164</v>
      </c>
      <c r="I17" s="37">
        <v>19</v>
      </c>
      <c r="J17" s="3">
        <v>25</v>
      </c>
      <c r="K17" s="38">
        <f t="shared" si="0"/>
        <v>44</v>
      </c>
      <c r="L17" s="9">
        <v>25</v>
      </c>
      <c r="M17" s="9">
        <v>0</v>
      </c>
      <c r="N17" s="9">
        <v>0</v>
      </c>
      <c r="O17" s="9">
        <v>1</v>
      </c>
      <c r="P17" s="9">
        <v>1</v>
      </c>
      <c r="Q17" s="9">
        <v>2</v>
      </c>
      <c r="R17" s="9">
        <v>1</v>
      </c>
      <c r="S17" s="9"/>
      <c r="T17" s="37">
        <v>11</v>
      </c>
      <c r="U17" s="3">
        <v>0</v>
      </c>
      <c r="V17" s="3">
        <v>0</v>
      </c>
      <c r="W17" s="3">
        <f t="shared" si="1"/>
        <v>11</v>
      </c>
      <c r="X17" s="39">
        <f t="shared" si="2"/>
        <v>14.909090909090908</v>
      </c>
      <c r="Y17" s="40">
        <v>8.83</v>
      </c>
      <c r="Z17" s="3">
        <v>54</v>
      </c>
      <c r="AA17" s="42">
        <v>64.27</v>
      </c>
      <c r="AB17" s="19"/>
    </row>
    <row r="18" spans="1:28" ht="20.100000000000001" customHeight="1" x14ac:dyDescent="0.3">
      <c r="A18" s="36">
        <v>16</v>
      </c>
      <c r="B18" s="5">
        <v>2002</v>
      </c>
      <c r="C18" s="5" t="s">
        <v>34</v>
      </c>
      <c r="D18" s="5" t="s">
        <v>35</v>
      </c>
      <c r="E18" s="5" t="s">
        <v>57</v>
      </c>
      <c r="F18" s="3" t="s">
        <v>53</v>
      </c>
      <c r="G18" s="3">
        <v>40</v>
      </c>
      <c r="H18" s="12">
        <f>40+29+31+40+28+25</f>
        <v>193</v>
      </c>
      <c r="I18" s="37">
        <v>13</v>
      </c>
      <c r="J18" s="3">
        <v>10</v>
      </c>
      <c r="K18" s="38">
        <f t="shared" si="0"/>
        <v>23</v>
      </c>
      <c r="L18" s="9">
        <v>16</v>
      </c>
      <c r="M18" s="9">
        <v>3</v>
      </c>
      <c r="N18" s="9">
        <v>0</v>
      </c>
      <c r="O18" s="9">
        <v>1</v>
      </c>
      <c r="P18" s="9">
        <v>0</v>
      </c>
      <c r="Q18" s="9">
        <v>0</v>
      </c>
      <c r="R18" s="9">
        <v>3</v>
      </c>
      <c r="S18" s="9"/>
      <c r="T18" s="37">
        <v>6</v>
      </c>
      <c r="U18" s="3">
        <v>20</v>
      </c>
      <c r="V18" s="3">
        <v>0</v>
      </c>
      <c r="W18" s="3">
        <f t="shared" si="1"/>
        <v>26</v>
      </c>
      <c r="X18" s="39">
        <f t="shared" si="2"/>
        <v>32.166666666666664</v>
      </c>
      <c r="Y18" s="40">
        <f>1762.62/480</f>
        <v>3.6721249999999999</v>
      </c>
      <c r="Z18" s="3">
        <v>56</v>
      </c>
      <c r="AA18" s="52">
        <v>57.14</v>
      </c>
      <c r="AB18" s="19"/>
    </row>
    <row r="19" spans="1:28" ht="20.100000000000001" customHeight="1" x14ac:dyDescent="0.3">
      <c r="A19" s="36">
        <v>17</v>
      </c>
      <c r="B19" s="5">
        <v>2002</v>
      </c>
      <c r="C19" s="5" t="s">
        <v>4</v>
      </c>
      <c r="D19" s="5" t="s">
        <v>6</v>
      </c>
      <c r="E19" s="5" t="s">
        <v>61</v>
      </c>
      <c r="F19" s="3" t="s">
        <v>29</v>
      </c>
      <c r="G19" s="3">
        <v>64</v>
      </c>
      <c r="H19" s="12">
        <f>63+75+68+67+99</f>
        <v>372</v>
      </c>
      <c r="I19" s="37">
        <v>35</v>
      </c>
      <c r="J19" s="3">
        <v>31</v>
      </c>
      <c r="K19" s="38">
        <f t="shared" si="0"/>
        <v>66</v>
      </c>
      <c r="L19" s="9">
        <v>20</v>
      </c>
      <c r="M19" s="9">
        <v>1</v>
      </c>
      <c r="N19" s="9">
        <v>0</v>
      </c>
      <c r="O19" s="9">
        <v>0</v>
      </c>
      <c r="P19" s="9">
        <v>0</v>
      </c>
      <c r="Q19" s="9">
        <v>2</v>
      </c>
      <c r="R19" s="9">
        <v>8</v>
      </c>
      <c r="S19" s="9"/>
      <c r="T19" s="37">
        <v>24</v>
      </c>
      <c r="U19" s="3">
        <v>29</v>
      </c>
      <c r="V19" s="3">
        <v>0</v>
      </c>
      <c r="W19" s="3">
        <f t="shared" si="1"/>
        <v>53</v>
      </c>
      <c r="X19" s="39">
        <f t="shared" si="2"/>
        <v>15.5</v>
      </c>
      <c r="Y19" s="40">
        <f>2837.4/1140</f>
        <v>2.4889473684210528</v>
      </c>
      <c r="Z19" s="24">
        <v>47</v>
      </c>
      <c r="AA19" s="42">
        <v>50.48</v>
      </c>
      <c r="AB19" s="19"/>
    </row>
    <row r="20" spans="1:28" ht="20.100000000000001" customHeight="1" x14ac:dyDescent="0.3">
      <c r="A20" s="36">
        <v>18</v>
      </c>
      <c r="B20" s="5">
        <v>2002</v>
      </c>
      <c r="C20" s="5" t="s">
        <v>1</v>
      </c>
      <c r="D20" s="5" t="s">
        <v>2</v>
      </c>
      <c r="E20" s="5" t="s">
        <v>62</v>
      </c>
      <c r="F20" s="3" t="s">
        <v>0</v>
      </c>
      <c r="G20" s="3">
        <v>30</v>
      </c>
      <c r="H20" s="12">
        <v>141</v>
      </c>
      <c r="I20" s="37">
        <v>16</v>
      </c>
      <c r="J20" s="3">
        <v>5</v>
      </c>
      <c r="K20" s="38">
        <f t="shared" si="0"/>
        <v>21</v>
      </c>
      <c r="L20" s="9">
        <v>11</v>
      </c>
      <c r="M20" s="9">
        <v>3</v>
      </c>
      <c r="N20" s="9">
        <v>1</v>
      </c>
      <c r="O20" s="9">
        <v>0</v>
      </c>
      <c r="P20" s="9">
        <v>0</v>
      </c>
      <c r="Q20" s="9">
        <v>0</v>
      </c>
      <c r="R20" s="9">
        <v>6</v>
      </c>
      <c r="S20" s="9"/>
      <c r="T20" s="37">
        <v>8</v>
      </c>
      <c r="U20" s="3">
        <v>12</v>
      </c>
      <c r="V20" s="3">
        <v>0</v>
      </c>
      <c r="W20" s="3">
        <f t="shared" si="1"/>
        <v>20</v>
      </c>
      <c r="X20" s="39">
        <f t="shared" si="2"/>
        <v>17.625</v>
      </c>
      <c r="Y20" s="40">
        <f>150.58/34.2</f>
        <v>4.4029239766081876</v>
      </c>
      <c r="Z20" s="24">
        <v>12</v>
      </c>
      <c r="AA20" s="42">
        <v>62.94</v>
      </c>
      <c r="AB20" s="19"/>
    </row>
    <row r="21" spans="1:28" ht="20.100000000000001" customHeight="1" x14ac:dyDescent="0.3">
      <c r="A21" s="36">
        <v>19</v>
      </c>
      <c r="B21" s="5">
        <v>2002</v>
      </c>
      <c r="C21" s="5" t="s">
        <v>1</v>
      </c>
      <c r="D21" s="5" t="s">
        <v>35</v>
      </c>
      <c r="E21" s="5" t="s">
        <v>62</v>
      </c>
      <c r="F21" s="3" t="s">
        <v>0</v>
      </c>
      <c r="G21" s="3">
        <v>45</v>
      </c>
      <c r="H21" s="12">
        <v>225</v>
      </c>
      <c r="I21" s="37">
        <v>2</v>
      </c>
      <c r="J21" s="3">
        <v>0</v>
      </c>
      <c r="K21" s="38">
        <v>2</v>
      </c>
      <c r="L21" s="9">
        <v>1</v>
      </c>
      <c r="M21" s="9">
        <v>0</v>
      </c>
      <c r="N21" s="9">
        <v>0</v>
      </c>
      <c r="O21" s="9">
        <v>1</v>
      </c>
      <c r="P21" s="9">
        <v>0</v>
      </c>
      <c r="Q21" s="9">
        <v>0</v>
      </c>
      <c r="R21" s="9">
        <v>0</v>
      </c>
      <c r="S21" s="9"/>
      <c r="T21" s="37">
        <v>7</v>
      </c>
      <c r="U21" s="3">
        <v>20</v>
      </c>
      <c r="V21" s="3">
        <v>0</v>
      </c>
      <c r="W21" s="3">
        <f t="shared" si="1"/>
        <v>27</v>
      </c>
      <c r="X21" s="39">
        <f t="shared" si="2"/>
        <v>32.142857142857146</v>
      </c>
      <c r="Y21" s="40">
        <f>1443.19/480</f>
        <v>3.0066458333333332</v>
      </c>
      <c r="Z21" s="24">
        <f>3+6+6+6+6+6+6+6+6</f>
        <v>51</v>
      </c>
      <c r="AA21" s="42">
        <v>62.58</v>
      </c>
      <c r="AB21" s="19" t="s">
        <v>81</v>
      </c>
    </row>
    <row r="22" spans="1:28" ht="20.100000000000001" customHeight="1" x14ac:dyDescent="0.3">
      <c r="A22" s="43">
        <v>20</v>
      </c>
      <c r="B22" s="45">
        <v>2002</v>
      </c>
      <c r="C22" s="45" t="s">
        <v>1</v>
      </c>
      <c r="D22" s="45" t="s">
        <v>35</v>
      </c>
      <c r="E22" s="45" t="s">
        <v>63</v>
      </c>
      <c r="F22" s="44" t="s">
        <v>51</v>
      </c>
      <c r="G22" s="44">
        <v>39</v>
      </c>
      <c r="H22" s="46">
        <f>41+39+47+49+63</f>
        <v>239</v>
      </c>
      <c r="I22" s="47">
        <v>18</v>
      </c>
      <c r="J22" s="44">
        <v>11</v>
      </c>
      <c r="K22" s="48">
        <f t="shared" si="0"/>
        <v>29</v>
      </c>
      <c r="L22" s="49">
        <v>14</v>
      </c>
      <c r="M22" s="49">
        <v>0</v>
      </c>
      <c r="N22" s="49">
        <v>0</v>
      </c>
      <c r="O22" s="49">
        <v>0</v>
      </c>
      <c r="P22" s="49">
        <v>2</v>
      </c>
      <c r="Q22" s="49">
        <v>4</v>
      </c>
      <c r="R22" s="49">
        <v>9</v>
      </c>
      <c r="S22" s="49"/>
      <c r="T22" s="47">
        <v>10</v>
      </c>
      <c r="U22" s="44">
        <v>18</v>
      </c>
      <c r="V22" s="44">
        <v>0</v>
      </c>
      <c r="W22" s="44">
        <f t="shared" si="1"/>
        <v>28</v>
      </c>
      <c r="X22" s="50">
        <f t="shared" si="2"/>
        <v>23.9</v>
      </c>
      <c r="Y22" s="51">
        <f>2009.8/476</f>
        <v>4.2222689075630253</v>
      </c>
      <c r="Z22" s="24">
        <v>54</v>
      </c>
      <c r="AA22" s="42">
        <v>54</v>
      </c>
      <c r="AB22" s="19"/>
    </row>
    <row r="23" spans="1:28" ht="20.100000000000001" customHeight="1" x14ac:dyDescent="0.3">
      <c r="A23" s="56">
        <v>21</v>
      </c>
      <c r="B23" s="45">
        <v>2002</v>
      </c>
      <c r="C23" s="45" t="s">
        <v>1</v>
      </c>
      <c r="D23" s="45" t="s">
        <v>2</v>
      </c>
      <c r="E23" s="45" t="s">
        <v>3</v>
      </c>
      <c r="F23" s="24" t="s">
        <v>0</v>
      </c>
      <c r="G23" s="24">
        <v>55</v>
      </c>
      <c r="H23" s="46">
        <f>46+48+54+63+31</f>
        <v>242</v>
      </c>
      <c r="I23" s="47">
        <v>19</v>
      </c>
      <c r="J23" s="24">
        <v>9</v>
      </c>
      <c r="K23" s="48">
        <f t="shared" si="0"/>
        <v>28</v>
      </c>
      <c r="L23" s="49">
        <v>14</v>
      </c>
      <c r="M23" s="49">
        <v>3</v>
      </c>
      <c r="N23" s="49">
        <v>0</v>
      </c>
      <c r="O23" s="49">
        <v>0</v>
      </c>
      <c r="P23" s="49">
        <v>0</v>
      </c>
      <c r="Q23" s="49">
        <v>1</v>
      </c>
      <c r="R23" s="49">
        <v>10</v>
      </c>
      <c r="S23" s="49"/>
      <c r="T23" s="47">
        <v>12</v>
      </c>
      <c r="U23" s="24">
        <v>35</v>
      </c>
      <c r="V23" s="24">
        <v>0</v>
      </c>
      <c r="W23" s="24">
        <f t="shared" si="1"/>
        <v>47</v>
      </c>
      <c r="X23" s="57">
        <f>H23/T23</f>
        <v>20.166666666666668</v>
      </c>
      <c r="Y23" s="51">
        <f>2152/665</f>
        <v>3.2360902255639097</v>
      </c>
      <c r="Z23" s="24">
        <v>55</v>
      </c>
      <c r="AA23" s="42">
        <v>63.88</v>
      </c>
      <c r="AB23" s="19"/>
    </row>
    <row r="24" spans="1:28" ht="20.100000000000001" customHeight="1" x14ac:dyDescent="0.3">
      <c r="A24" s="56">
        <v>22</v>
      </c>
      <c r="B24" s="45">
        <v>2002</v>
      </c>
      <c r="C24" s="45" t="s">
        <v>1</v>
      </c>
      <c r="D24" s="45" t="s">
        <v>2</v>
      </c>
      <c r="E24" s="45" t="s">
        <v>3</v>
      </c>
      <c r="F24" s="24" t="s">
        <v>0</v>
      </c>
      <c r="G24" s="24">
        <v>26</v>
      </c>
      <c r="H24" s="46">
        <v>123</v>
      </c>
      <c r="I24" s="47">
        <v>17</v>
      </c>
      <c r="J24" s="24">
        <v>11</v>
      </c>
      <c r="K24" s="48">
        <f t="shared" si="0"/>
        <v>28</v>
      </c>
      <c r="L24" s="49">
        <v>13</v>
      </c>
      <c r="M24" s="49">
        <v>1</v>
      </c>
      <c r="N24" s="49">
        <v>0</v>
      </c>
      <c r="O24" s="49">
        <v>0</v>
      </c>
      <c r="P24" s="49">
        <v>0</v>
      </c>
      <c r="Q24" s="49">
        <v>3</v>
      </c>
      <c r="R24" s="49">
        <v>11</v>
      </c>
      <c r="S24" s="49"/>
      <c r="T24" s="47">
        <v>11</v>
      </c>
      <c r="U24" s="24">
        <v>19</v>
      </c>
      <c r="V24" s="24">
        <v>0</v>
      </c>
      <c r="W24" s="24">
        <f t="shared" si="1"/>
        <v>30</v>
      </c>
      <c r="X24" s="50">
        <f t="shared" ref="X24:X34" si="3">H24/T24</f>
        <v>11.181818181818182</v>
      </c>
      <c r="Y24" s="51">
        <f>1290.88/300</f>
        <v>4.3029333333333337</v>
      </c>
      <c r="Z24" s="24">
        <v>50</v>
      </c>
      <c r="AA24" s="12">
        <v>64.900000000000006</v>
      </c>
      <c r="AB24" s="19"/>
    </row>
    <row r="25" spans="1:28" ht="20.100000000000001" customHeight="1" x14ac:dyDescent="0.3">
      <c r="A25" s="43">
        <v>23</v>
      </c>
      <c r="B25" s="45">
        <v>2002</v>
      </c>
      <c r="C25" s="45" t="s">
        <v>7</v>
      </c>
      <c r="D25" s="45" t="s">
        <v>8</v>
      </c>
      <c r="E25" s="45" t="s">
        <v>3</v>
      </c>
      <c r="F25" s="44" t="s">
        <v>53</v>
      </c>
      <c r="G25" s="44">
        <v>40</v>
      </c>
      <c r="H25" s="46">
        <f>41+39+29+39+110</f>
        <v>258</v>
      </c>
      <c r="I25" s="47">
        <v>28</v>
      </c>
      <c r="J25" s="44">
        <v>14</v>
      </c>
      <c r="K25" s="48">
        <f t="shared" si="0"/>
        <v>42</v>
      </c>
      <c r="L25" s="49">
        <v>20</v>
      </c>
      <c r="M25" s="49">
        <v>2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/>
      <c r="T25" s="47">
        <v>13</v>
      </c>
      <c r="U25" s="44">
        <v>16</v>
      </c>
      <c r="V25" s="44">
        <v>12</v>
      </c>
      <c r="W25" s="44">
        <f t="shared" si="1"/>
        <v>41</v>
      </c>
      <c r="X25" s="50">
        <f t="shared" si="3"/>
        <v>19.846153846153847</v>
      </c>
      <c r="Y25" s="51">
        <f>2391.58/405</f>
        <v>5.9051358024691361</v>
      </c>
      <c r="Z25" s="24">
        <v>52</v>
      </c>
      <c r="AA25" s="42">
        <v>61.77</v>
      </c>
      <c r="AB25" s="19"/>
    </row>
    <row r="26" spans="1:28" ht="20.100000000000001" customHeight="1" x14ac:dyDescent="0.3">
      <c r="A26" s="36">
        <v>24</v>
      </c>
      <c r="B26" s="5">
        <v>2002</v>
      </c>
      <c r="C26" s="5" t="s">
        <v>34</v>
      </c>
      <c r="D26" s="5" t="s">
        <v>35</v>
      </c>
      <c r="E26" s="5" t="s">
        <v>64</v>
      </c>
      <c r="F26" s="3" t="s">
        <v>29</v>
      </c>
      <c r="G26" s="3">
        <v>27</v>
      </c>
      <c r="H26" s="12">
        <f>86/2+37+18+24+26</f>
        <v>148</v>
      </c>
      <c r="I26" s="37">
        <v>9</v>
      </c>
      <c r="J26" s="3">
        <v>12</v>
      </c>
      <c r="K26" s="38">
        <f t="shared" si="0"/>
        <v>21</v>
      </c>
      <c r="L26" s="9">
        <v>9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7</v>
      </c>
      <c r="S26" s="9"/>
      <c r="T26" s="37">
        <v>5</v>
      </c>
      <c r="U26" s="3">
        <v>14</v>
      </c>
      <c r="V26" s="3">
        <v>6</v>
      </c>
      <c r="W26" s="3">
        <f t="shared" si="1"/>
        <v>25</v>
      </c>
      <c r="X26" s="39">
        <f t="shared" si="3"/>
        <v>29.6</v>
      </c>
      <c r="Y26" s="40">
        <f>1790.04/504</f>
        <v>3.5516666666666667</v>
      </c>
      <c r="Z26" s="3">
        <f>3+3+6+6+6+6+6+6+6</f>
        <v>48</v>
      </c>
      <c r="AA26" s="52">
        <v>61.3</v>
      </c>
      <c r="AB26" s="19"/>
    </row>
    <row r="27" spans="1:28" ht="20.100000000000001" customHeight="1" x14ac:dyDescent="0.3">
      <c r="A27" s="43">
        <v>25</v>
      </c>
      <c r="B27" s="45">
        <v>2003</v>
      </c>
      <c r="C27" s="45" t="s">
        <v>4</v>
      </c>
      <c r="D27" s="45" t="s">
        <v>2</v>
      </c>
      <c r="E27" s="45" t="s">
        <v>65</v>
      </c>
      <c r="F27" s="44" t="s">
        <v>53</v>
      </c>
      <c r="G27" s="44">
        <v>41</v>
      </c>
      <c r="H27" s="46">
        <v>257</v>
      </c>
      <c r="I27" s="47">
        <v>9</v>
      </c>
      <c r="J27" s="44">
        <v>3</v>
      </c>
      <c r="K27" s="48">
        <f t="shared" si="0"/>
        <v>12</v>
      </c>
      <c r="L27" s="49">
        <v>1</v>
      </c>
      <c r="M27" s="49">
        <v>0</v>
      </c>
      <c r="N27" s="49">
        <v>0</v>
      </c>
      <c r="O27" s="49">
        <v>0</v>
      </c>
      <c r="P27" s="49">
        <v>0</v>
      </c>
      <c r="Q27" s="49">
        <v>4</v>
      </c>
      <c r="R27" s="49">
        <v>7</v>
      </c>
      <c r="S27" s="49"/>
      <c r="T27" s="47">
        <v>10</v>
      </c>
      <c r="U27" s="44">
        <v>27</v>
      </c>
      <c r="V27" s="44">
        <v>0</v>
      </c>
      <c r="W27" s="44">
        <f t="shared" si="1"/>
        <v>37</v>
      </c>
      <c r="X27" s="50">
        <f t="shared" si="3"/>
        <v>25.7</v>
      </c>
      <c r="Y27" s="51">
        <f>3407.46/672</f>
        <v>5.0706249999999997</v>
      </c>
      <c r="Z27" s="24">
        <v>54</v>
      </c>
      <c r="AA27" s="42">
        <v>72.39</v>
      </c>
      <c r="AB27" s="19"/>
    </row>
    <row r="28" spans="1:28" ht="20.100000000000001" customHeight="1" x14ac:dyDescent="0.3">
      <c r="A28" s="36">
        <v>26</v>
      </c>
      <c r="B28" s="25">
        <v>2002</v>
      </c>
      <c r="C28" s="25" t="s">
        <v>27</v>
      </c>
      <c r="D28" s="25" t="s">
        <v>33</v>
      </c>
      <c r="E28" s="26" t="s">
        <v>28</v>
      </c>
      <c r="F28" s="3" t="s">
        <v>29</v>
      </c>
      <c r="G28" s="3">
        <v>51</v>
      </c>
      <c r="H28" s="12">
        <v>245</v>
      </c>
      <c r="I28" s="37">
        <v>29</v>
      </c>
      <c r="J28" s="3">
        <v>16</v>
      </c>
      <c r="K28" s="38">
        <f t="shared" si="0"/>
        <v>45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/>
      <c r="T28" s="37">
        <v>5</v>
      </c>
      <c r="U28" s="3">
        <v>21</v>
      </c>
      <c r="V28" s="3">
        <v>0</v>
      </c>
      <c r="W28" s="3">
        <f t="shared" si="1"/>
        <v>26</v>
      </c>
      <c r="X28" s="39">
        <f t="shared" si="3"/>
        <v>49</v>
      </c>
      <c r="Y28" s="40">
        <f>1793.2/374</f>
        <v>4.7946524064171125</v>
      </c>
      <c r="Z28" s="3">
        <v>48</v>
      </c>
      <c r="AA28" s="42">
        <v>51.3</v>
      </c>
      <c r="AB28" s="19"/>
    </row>
    <row r="29" spans="1:28" ht="20.100000000000001" customHeight="1" x14ac:dyDescent="0.3">
      <c r="A29" s="36">
        <v>27</v>
      </c>
      <c r="B29" s="25">
        <v>2003</v>
      </c>
      <c r="C29" s="25" t="s">
        <v>34</v>
      </c>
      <c r="D29" s="25" t="s">
        <v>35</v>
      </c>
      <c r="E29" s="26" t="s">
        <v>39</v>
      </c>
      <c r="F29" s="3" t="s">
        <v>29</v>
      </c>
      <c r="G29" s="3">
        <v>32</v>
      </c>
      <c r="H29" s="12">
        <v>152</v>
      </c>
      <c r="I29" s="37">
        <v>15</v>
      </c>
      <c r="J29" s="3">
        <v>14</v>
      </c>
      <c r="K29" s="38">
        <f t="shared" si="0"/>
        <v>29</v>
      </c>
      <c r="L29" s="9">
        <v>11</v>
      </c>
      <c r="M29" s="9">
        <v>0</v>
      </c>
      <c r="N29" s="9">
        <v>0</v>
      </c>
      <c r="O29" s="9">
        <v>0</v>
      </c>
      <c r="P29" s="9">
        <v>0</v>
      </c>
      <c r="Q29" s="9">
        <v>1</v>
      </c>
      <c r="R29" s="9">
        <v>17</v>
      </c>
      <c r="S29" s="9"/>
      <c r="T29" s="37">
        <v>7</v>
      </c>
      <c r="U29" s="3">
        <v>37</v>
      </c>
      <c r="V29" s="3">
        <v>11</v>
      </c>
      <c r="W29" s="3">
        <f t="shared" si="1"/>
        <v>55</v>
      </c>
      <c r="X29" s="39">
        <f t="shared" si="3"/>
        <v>21.714285714285715</v>
      </c>
      <c r="Y29" s="40">
        <f>1559/645</f>
        <v>2.4170542635658916</v>
      </c>
      <c r="Z29" s="3">
        <v>51</v>
      </c>
      <c r="AA29" s="52">
        <v>41.9</v>
      </c>
      <c r="AB29" s="19"/>
    </row>
    <row r="30" spans="1:28" ht="20.100000000000001" customHeight="1" x14ac:dyDescent="0.3">
      <c r="A30" s="36">
        <v>28</v>
      </c>
      <c r="B30" s="5">
        <v>2003</v>
      </c>
      <c r="C30" s="5" t="s">
        <v>4</v>
      </c>
      <c r="D30" s="5" t="s">
        <v>2</v>
      </c>
      <c r="E30" s="5" t="s">
        <v>3</v>
      </c>
      <c r="F30" s="3" t="s">
        <v>29</v>
      </c>
      <c r="G30" s="3">
        <v>38</v>
      </c>
      <c r="H30" s="12">
        <f>44+41+29+25+32</f>
        <v>171</v>
      </c>
      <c r="I30" s="37">
        <v>16</v>
      </c>
      <c r="J30" s="3">
        <v>8</v>
      </c>
      <c r="K30" s="38">
        <f t="shared" si="0"/>
        <v>24</v>
      </c>
      <c r="L30" s="9">
        <v>8</v>
      </c>
      <c r="M30" s="9">
        <v>2</v>
      </c>
      <c r="N30" s="9">
        <v>0</v>
      </c>
      <c r="O30" s="9">
        <v>0</v>
      </c>
      <c r="P30" s="9">
        <v>0</v>
      </c>
      <c r="Q30" s="9">
        <v>5</v>
      </c>
      <c r="R30" s="9">
        <v>9</v>
      </c>
      <c r="S30" s="9"/>
      <c r="T30" s="37">
        <v>15</v>
      </c>
      <c r="U30" s="3">
        <v>28</v>
      </c>
      <c r="V30" s="3">
        <v>0</v>
      </c>
      <c r="W30" s="3">
        <f t="shared" si="1"/>
        <v>43</v>
      </c>
      <c r="X30" s="39">
        <f t="shared" si="3"/>
        <v>11.4</v>
      </c>
      <c r="Y30" s="40">
        <f>1450.4/383</f>
        <v>3.7869451697127938</v>
      </c>
      <c r="Z30" s="17">
        <v>51</v>
      </c>
      <c r="AA30" s="12">
        <v>60.9</v>
      </c>
      <c r="AB30" s="19" t="s">
        <v>66</v>
      </c>
    </row>
    <row r="31" spans="1:28" ht="20.100000000000001" customHeight="1" x14ac:dyDescent="0.3">
      <c r="A31" s="36">
        <v>29</v>
      </c>
      <c r="B31" s="5">
        <v>2003</v>
      </c>
      <c r="C31" s="5" t="s">
        <v>4</v>
      </c>
      <c r="D31" s="5" t="s">
        <v>2</v>
      </c>
      <c r="E31" s="5" t="s">
        <v>3</v>
      </c>
      <c r="F31" s="3" t="s">
        <v>29</v>
      </c>
      <c r="G31" s="3">
        <v>41</v>
      </c>
      <c r="H31" s="12">
        <f>72/2+35+37+38+68</f>
        <v>214</v>
      </c>
      <c r="I31" s="37">
        <v>29</v>
      </c>
      <c r="J31" s="3">
        <v>15</v>
      </c>
      <c r="K31" s="38">
        <f t="shared" si="0"/>
        <v>44</v>
      </c>
      <c r="L31" s="9">
        <v>9</v>
      </c>
      <c r="M31" s="9">
        <v>6</v>
      </c>
      <c r="N31" s="9">
        <v>0</v>
      </c>
      <c r="O31" s="9">
        <v>0</v>
      </c>
      <c r="P31" s="9">
        <v>0</v>
      </c>
      <c r="Q31" s="9">
        <v>4</v>
      </c>
      <c r="R31" s="9">
        <v>8</v>
      </c>
      <c r="S31" s="9"/>
      <c r="T31" s="37">
        <v>15</v>
      </c>
      <c r="U31" s="3">
        <v>38</v>
      </c>
      <c r="V31" s="3">
        <v>0</v>
      </c>
      <c r="W31" s="3">
        <f t="shared" si="1"/>
        <v>53</v>
      </c>
      <c r="X31" s="39">
        <f t="shared" si="3"/>
        <v>14.266666666666667</v>
      </c>
      <c r="Y31" s="40">
        <f>1505.68/536</f>
        <v>2.8091044776119403</v>
      </c>
      <c r="Z31" s="17">
        <v>51</v>
      </c>
      <c r="AA31" s="42">
        <v>57.72</v>
      </c>
      <c r="AB31" s="19" t="s">
        <v>66</v>
      </c>
    </row>
    <row r="32" spans="1:28" ht="20.100000000000001" customHeight="1" x14ac:dyDescent="0.3">
      <c r="A32" s="36">
        <v>30</v>
      </c>
      <c r="B32" s="5">
        <v>2002</v>
      </c>
      <c r="C32" s="5" t="s">
        <v>4</v>
      </c>
      <c r="D32" s="5" t="s">
        <v>67</v>
      </c>
      <c r="E32" s="5" t="s">
        <v>68</v>
      </c>
      <c r="F32" s="3" t="s">
        <v>29</v>
      </c>
      <c r="G32" s="3">
        <f>135/3</f>
        <v>45</v>
      </c>
      <c r="H32" s="12">
        <v>256</v>
      </c>
      <c r="I32" s="37">
        <v>21</v>
      </c>
      <c r="J32" s="3">
        <v>22</v>
      </c>
      <c r="K32" s="38">
        <f t="shared" si="0"/>
        <v>43</v>
      </c>
      <c r="L32" s="9">
        <v>29</v>
      </c>
      <c r="M32" s="9">
        <v>2</v>
      </c>
      <c r="N32" s="9">
        <v>0</v>
      </c>
      <c r="O32" s="9">
        <v>0</v>
      </c>
      <c r="P32" s="9">
        <v>0</v>
      </c>
      <c r="Q32" s="9">
        <v>1</v>
      </c>
      <c r="R32" s="9">
        <v>11</v>
      </c>
      <c r="S32" s="9"/>
      <c r="T32" s="37">
        <v>18</v>
      </c>
      <c r="U32" s="3">
        <v>23</v>
      </c>
      <c r="V32" s="3">
        <v>0</v>
      </c>
      <c r="W32" s="3">
        <f t="shared" si="1"/>
        <v>41</v>
      </c>
      <c r="X32" s="39">
        <f t="shared" si="3"/>
        <v>14.222222222222221</v>
      </c>
      <c r="Y32" s="40">
        <v>3.53</v>
      </c>
      <c r="Z32" s="3">
        <f>6+6+6+6+6+6+6+4</f>
        <v>46</v>
      </c>
      <c r="AA32" s="42">
        <f>AVERAGE(28.12,29.38,46.45,51.42,47.21,53.33,54.33,55.38,45.97,30)</f>
        <v>44.159000000000006</v>
      </c>
      <c r="AB32" s="19"/>
    </row>
    <row r="33" spans="1:28" ht="20.100000000000001" customHeight="1" x14ac:dyDescent="0.3">
      <c r="A33" s="36">
        <v>31</v>
      </c>
      <c r="B33" s="5">
        <v>2002</v>
      </c>
      <c r="C33" s="5" t="s">
        <v>4</v>
      </c>
      <c r="D33" s="5" t="s">
        <v>69</v>
      </c>
      <c r="E33" s="5" t="s">
        <v>70</v>
      </c>
      <c r="F33" s="3" t="s">
        <v>29</v>
      </c>
      <c r="G33" s="3">
        <v>43</v>
      </c>
      <c r="H33" s="12">
        <f>41+46+42+39+36</f>
        <v>204</v>
      </c>
      <c r="I33" s="37">
        <v>19</v>
      </c>
      <c r="J33" s="3">
        <v>17</v>
      </c>
      <c r="K33" s="38">
        <f t="shared" si="0"/>
        <v>36</v>
      </c>
      <c r="L33" s="9">
        <v>24</v>
      </c>
      <c r="M33" s="9">
        <v>0</v>
      </c>
      <c r="N33" s="9">
        <v>1</v>
      </c>
      <c r="O33" s="9">
        <v>0</v>
      </c>
      <c r="P33" s="9">
        <v>0</v>
      </c>
      <c r="Q33" s="9">
        <v>0</v>
      </c>
      <c r="R33" s="9">
        <v>3</v>
      </c>
      <c r="S33" s="9"/>
      <c r="T33" s="37">
        <v>14</v>
      </c>
      <c r="U33" s="3">
        <v>28</v>
      </c>
      <c r="V33" s="3">
        <v>0</v>
      </c>
      <c r="W33" s="3">
        <f t="shared" si="1"/>
        <v>42</v>
      </c>
      <c r="X33" s="39">
        <f t="shared" si="3"/>
        <v>14.571428571428571</v>
      </c>
      <c r="Y33" s="40">
        <v>3.3</v>
      </c>
      <c r="Z33" s="3">
        <v>52</v>
      </c>
      <c r="AA33" s="42">
        <v>51.35</v>
      </c>
      <c r="AB33" s="19"/>
    </row>
    <row r="34" spans="1:28" ht="20.100000000000001" customHeight="1" x14ac:dyDescent="0.3">
      <c r="A34" s="43">
        <v>32</v>
      </c>
      <c r="B34" s="45"/>
      <c r="C34" s="45" t="s">
        <v>71</v>
      </c>
      <c r="D34" s="45" t="s">
        <v>35</v>
      </c>
      <c r="E34" s="45" t="s">
        <v>65</v>
      </c>
      <c r="F34" s="44" t="s">
        <v>72</v>
      </c>
      <c r="G34" s="44">
        <v>44</v>
      </c>
      <c r="H34" s="46">
        <f>39+37+27+22+32</f>
        <v>157</v>
      </c>
      <c r="I34" s="47">
        <v>24</v>
      </c>
      <c r="J34" s="44">
        <v>6</v>
      </c>
      <c r="K34" s="48">
        <f t="shared" si="0"/>
        <v>30</v>
      </c>
      <c r="L34" s="49">
        <v>21</v>
      </c>
      <c r="M34" s="49">
        <v>1</v>
      </c>
      <c r="N34" s="49">
        <v>0</v>
      </c>
      <c r="O34" s="49">
        <v>0</v>
      </c>
      <c r="P34" s="49">
        <v>0</v>
      </c>
      <c r="Q34" s="49">
        <v>1</v>
      </c>
      <c r="R34" s="49">
        <v>7</v>
      </c>
      <c r="S34" s="49"/>
      <c r="T34" s="47">
        <v>6</v>
      </c>
      <c r="U34" s="44">
        <v>11</v>
      </c>
      <c r="V34" s="44">
        <v>0</v>
      </c>
      <c r="W34" s="44">
        <f t="shared" si="1"/>
        <v>17</v>
      </c>
      <c r="X34" s="50">
        <f t="shared" si="3"/>
        <v>26.166666666666668</v>
      </c>
      <c r="Y34" s="51">
        <f>2062/430</f>
        <v>4.7953488372093025</v>
      </c>
      <c r="Z34" s="24">
        <v>47</v>
      </c>
      <c r="AA34" s="42">
        <v>47.29</v>
      </c>
      <c r="AB34" s="19"/>
    </row>
    <row r="35" spans="1:28" ht="20.100000000000001" customHeight="1" x14ac:dyDescent="0.3">
      <c r="A35" s="43">
        <v>33</v>
      </c>
      <c r="B35" s="45">
        <v>2003</v>
      </c>
      <c r="C35" s="45" t="s">
        <v>4</v>
      </c>
      <c r="D35" s="45" t="s">
        <v>2</v>
      </c>
      <c r="E35" s="45" t="s">
        <v>3</v>
      </c>
      <c r="F35" s="44" t="s">
        <v>29</v>
      </c>
      <c r="G35" s="44">
        <v>35</v>
      </c>
      <c r="H35" s="46">
        <f>21+32+30+22+19</f>
        <v>124</v>
      </c>
      <c r="I35" s="47">
        <v>0</v>
      </c>
      <c r="J35" s="44">
        <v>12</v>
      </c>
      <c r="K35" s="48">
        <f t="shared" ref="K35:K44" si="4">SUM(I35:J35)</f>
        <v>12</v>
      </c>
      <c r="L35" s="49">
        <v>0</v>
      </c>
      <c r="M35" s="49">
        <v>1</v>
      </c>
      <c r="N35" s="49">
        <v>0</v>
      </c>
      <c r="O35" s="49">
        <v>0</v>
      </c>
      <c r="P35" s="49">
        <v>0</v>
      </c>
      <c r="Q35" s="49">
        <v>10</v>
      </c>
      <c r="R35" s="49">
        <v>3</v>
      </c>
      <c r="S35" s="49"/>
      <c r="T35" s="47">
        <v>10</v>
      </c>
      <c r="U35" s="44">
        <v>14</v>
      </c>
      <c r="V35" s="44">
        <v>1</v>
      </c>
      <c r="W35" s="44">
        <f t="shared" ref="W35:W47" si="5">SUM(T35:V35)</f>
        <v>25</v>
      </c>
      <c r="X35" s="50">
        <f t="shared" ref="X35:X45" si="6">H35/T35</f>
        <v>12.4</v>
      </c>
      <c r="Y35" s="51">
        <v>5.13</v>
      </c>
      <c r="Z35" s="24">
        <v>51</v>
      </c>
      <c r="AA35" s="42">
        <v>66.209999999999994</v>
      </c>
      <c r="AB35" s="19"/>
    </row>
    <row r="36" spans="1:28" ht="20.100000000000001" customHeight="1" x14ac:dyDescent="0.3">
      <c r="A36" s="36">
        <v>34</v>
      </c>
      <c r="B36" s="5">
        <v>2002</v>
      </c>
      <c r="C36" s="5" t="s">
        <v>34</v>
      </c>
      <c r="D36" s="5" t="s">
        <v>35</v>
      </c>
      <c r="E36" s="5" t="s">
        <v>57</v>
      </c>
      <c r="F36" s="3" t="s">
        <v>53</v>
      </c>
      <c r="G36" s="3">
        <v>44</v>
      </c>
      <c r="H36" s="12">
        <f>52+42+37+44+46</f>
        <v>221</v>
      </c>
      <c r="I36" s="37">
        <v>18</v>
      </c>
      <c r="J36" s="3">
        <v>18</v>
      </c>
      <c r="K36" s="38">
        <f t="shared" si="4"/>
        <v>36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/>
      <c r="T36" s="37">
        <v>8</v>
      </c>
      <c r="U36" s="3">
        <v>45</v>
      </c>
      <c r="V36" s="3">
        <v>0</v>
      </c>
      <c r="W36" s="3">
        <f t="shared" si="5"/>
        <v>53</v>
      </c>
      <c r="X36" s="39">
        <f t="shared" si="6"/>
        <v>27.625</v>
      </c>
      <c r="Y36" s="40">
        <f>930.97/424</f>
        <v>2.1956839622641509</v>
      </c>
      <c r="Z36" s="3">
        <v>57</v>
      </c>
      <c r="AA36" s="52">
        <v>55.24</v>
      </c>
      <c r="AB36" s="19"/>
    </row>
    <row r="37" spans="1:28" ht="20.100000000000001" customHeight="1" x14ac:dyDescent="0.3">
      <c r="A37" s="36">
        <v>35</v>
      </c>
      <c r="B37" s="5">
        <v>2002</v>
      </c>
      <c r="C37" s="5" t="s">
        <v>1</v>
      </c>
      <c r="D37" s="5" t="s">
        <v>2</v>
      </c>
      <c r="E37" s="5" t="s">
        <v>73</v>
      </c>
      <c r="F37" s="3" t="s">
        <v>29</v>
      </c>
      <c r="G37" s="3">
        <v>27</v>
      </c>
      <c r="H37" s="12">
        <f>36+34+27+29+41</f>
        <v>167</v>
      </c>
      <c r="I37" s="37">
        <v>13</v>
      </c>
      <c r="J37" s="3">
        <v>19</v>
      </c>
      <c r="K37" s="38">
        <f t="shared" si="4"/>
        <v>32</v>
      </c>
      <c r="L37" s="9">
        <v>10</v>
      </c>
      <c r="M37" s="9">
        <v>1</v>
      </c>
      <c r="N37" s="9">
        <v>0</v>
      </c>
      <c r="O37" s="9">
        <v>0</v>
      </c>
      <c r="P37" s="9">
        <v>0</v>
      </c>
      <c r="Q37" s="9">
        <v>4</v>
      </c>
      <c r="R37" s="9">
        <v>17</v>
      </c>
      <c r="S37" s="9"/>
      <c r="T37" s="37">
        <v>13</v>
      </c>
      <c r="U37" s="3">
        <v>31</v>
      </c>
      <c r="V37" s="3">
        <v>0</v>
      </c>
      <c r="W37" s="3">
        <f t="shared" si="5"/>
        <v>44</v>
      </c>
      <c r="X37" s="39">
        <f t="shared" si="6"/>
        <v>12.846153846153847</v>
      </c>
      <c r="Y37" s="40">
        <f>1497.1/358</f>
        <v>4.181843575418994</v>
      </c>
      <c r="Z37" s="3">
        <v>52</v>
      </c>
      <c r="AA37" s="42">
        <v>54.87</v>
      </c>
      <c r="AB37" s="19"/>
    </row>
    <row r="38" spans="1:28" ht="20.100000000000001" customHeight="1" x14ac:dyDescent="0.3">
      <c r="A38" s="36">
        <v>36</v>
      </c>
      <c r="B38" s="5">
        <v>2003</v>
      </c>
      <c r="C38" s="5" t="s">
        <v>1</v>
      </c>
      <c r="D38" s="5" t="s">
        <v>2</v>
      </c>
      <c r="E38" s="5" t="s">
        <v>3</v>
      </c>
      <c r="F38" s="3" t="s">
        <v>53</v>
      </c>
      <c r="G38" s="3">
        <v>24</v>
      </c>
      <c r="H38" s="12">
        <f>28+18+28+27+26</f>
        <v>127</v>
      </c>
      <c r="I38" s="37">
        <v>13</v>
      </c>
      <c r="J38" s="3">
        <v>5</v>
      </c>
      <c r="K38" s="38">
        <f t="shared" si="4"/>
        <v>18</v>
      </c>
      <c r="L38" s="9">
        <v>13</v>
      </c>
      <c r="M38" s="9">
        <v>1</v>
      </c>
      <c r="N38" s="9">
        <v>0</v>
      </c>
      <c r="O38" s="9">
        <v>0</v>
      </c>
      <c r="P38" s="9">
        <v>0</v>
      </c>
      <c r="Q38" s="9">
        <v>0</v>
      </c>
      <c r="R38" s="9">
        <v>2</v>
      </c>
      <c r="S38" s="9"/>
      <c r="T38" s="37">
        <v>5</v>
      </c>
      <c r="U38" s="3">
        <v>18</v>
      </c>
      <c r="V38" s="3">
        <v>0</v>
      </c>
      <c r="W38" s="3">
        <f t="shared" si="5"/>
        <v>23</v>
      </c>
      <c r="X38" s="39">
        <f t="shared" si="6"/>
        <v>25.4</v>
      </c>
      <c r="Y38" s="40">
        <v>5.67</v>
      </c>
      <c r="Z38" s="3">
        <v>48</v>
      </c>
      <c r="AA38" s="42">
        <f>AVERAGE(60,72,48,49.6,49.6,55.4,65.4,68.6)</f>
        <v>58.575000000000003</v>
      </c>
      <c r="AB38" s="19"/>
    </row>
    <row r="39" spans="1:28" ht="20.100000000000001" customHeight="1" x14ac:dyDescent="0.3">
      <c r="A39" s="43">
        <v>37</v>
      </c>
      <c r="B39" s="45">
        <v>2002</v>
      </c>
      <c r="C39" s="45" t="s">
        <v>34</v>
      </c>
      <c r="D39" s="45" t="s">
        <v>35</v>
      </c>
      <c r="E39" s="45" t="s">
        <v>36</v>
      </c>
      <c r="F39" s="44" t="s">
        <v>53</v>
      </c>
      <c r="G39" s="44">
        <v>32</v>
      </c>
      <c r="H39" s="46">
        <f>34+49+35+25+35</f>
        <v>178</v>
      </c>
      <c r="I39" s="47">
        <v>16</v>
      </c>
      <c r="J39" s="44">
        <v>10</v>
      </c>
      <c r="K39" s="48">
        <f t="shared" si="4"/>
        <v>26</v>
      </c>
      <c r="L39" s="49">
        <v>15</v>
      </c>
      <c r="M39" s="49">
        <v>2</v>
      </c>
      <c r="N39" s="49">
        <v>1</v>
      </c>
      <c r="O39" s="49">
        <v>0</v>
      </c>
      <c r="P39" s="49">
        <v>3</v>
      </c>
      <c r="Q39" s="49">
        <v>0</v>
      </c>
      <c r="R39" s="49">
        <v>5</v>
      </c>
      <c r="S39" s="49"/>
      <c r="T39" s="47">
        <v>5</v>
      </c>
      <c r="U39" s="44">
        <v>24</v>
      </c>
      <c r="V39" s="44">
        <v>0</v>
      </c>
      <c r="W39" s="44">
        <f t="shared" si="5"/>
        <v>29</v>
      </c>
      <c r="X39" s="50">
        <f t="shared" si="6"/>
        <v>35.6</v>
      </c>
      <c r="Y39" s="51">
        <f>1555.2/450</f>
        <v>3.456</v>
      </c>
      <c r="Z39" s="24">
        <v>50</v>
      </c>
      <c r="AA39" s="54">
        <v>43.6</v>
      </c>
      <c r="AB39" s="19"/>
    </row>
    <row r="40" spans="1:28" ht="20.100000000000001" customHeight="1" x14ac:dyDescent="0.3">
      <c r="A40" s="43">
        <v>38</v>
      </c>
      <c r="B40" s="45">
        <v>2003</v>
      </c>
      <c r="C40" s="45" t="s">
        <v>34</v>
      </c>
      <c r="D40" s="45" t="s">
        <v>2</v>
      </c>
      <c r="E40" s="45" t="s">
        <v>38</v>
      </c>
      <c r="F40" s="44" t="s">
        <v>29</v>
      </c>
      <c r="G40" s="44">
        <v>45</v>
      </c>
      <c r="H40" s="46">
        <v>209</v>
      </c>
      <c r="I40" s="47">
        <v>30</v>
      </c>
      <c r="J40" s="44">
        <v>11</v>
      </c>
      <c r="K40" s="48">
        <f t="shared" si="4"/>
        <v>41</v>
      </c>
      <c r="L40" s="49">
        <v>9</v>
      </c>
      <c r="M40" s="49">
        <v>1</v>
      </c>
      <c r="N40" s="49">
        <v>3</v>
      </c>
      <c r="O40" s="49">
        <v>0</v>
      </c>
      <c r="P40" s="49">
        <v>2</v>
      </c>
      <c r="Q40" s="49">
        <v>1</v>
      </c>
      <c r="R40" s="49">
        <v>25</v>
      </c>
      <c r="S40" s="49"/>
      <c r="T40" s="47">
        <v>10</v>
      </c>
      <c r="U40" s="44">
        <v>1</v>
      </c>
      <c r="V40" s="44">
        <v>8</v>
      </c>
      <c r="W40" s="44">
        <f t="shared" si="5"/>
        <v>19</v>
      </c>
      <c r="X40" s="50">
        <f t="shared" si="6"/>
        <v>20.9</v>
      </c>
      <c r="Y40" s="51">
        <v>2.65</v>
      </c>
      <c r="Z40" s="24">
        <v>57</v>
      </c>
      <c r="AA40" s="52">
        <f>AVERAGE(16.7,62.6,84.7,67,64)</f>
        <v>59</v>
      </c>
      <c r="AB40" s="19"/>
    </row>
    <row r="41" spans="1:28" ht="20.100000000000001" customHeight="1" x14ac:dyDescent="0.3">
      <c r="A41" s="36">
        <v>39</v>
      </c>
      <c r="B41" s="5">
        <v>2002</v>
      </c>
      <c r="C41" s="5" t="s">
        <v>34</v>
      </c>
      <c r="D41" s="5" t="s">
        <v>74</v>
      </c>
      <c r="E41" s="5" t="s">
        <v>36</v>
      </c>
      <c r="F41" s="3" t="s">
        <v>53</v>
      </c>
      <c r="G41" s="3">
        <v>41</v>
      </c>
      <c r="H41" s="12">
        <f>37+35+28+27+19</f>
        <v>146</v>
      </c>
      <c r="I41" s="37">
        <v>14</v>
      </c>
      <c r="J41" s="3">
        <v>5</v>
      </c>
      <c r="K41" s="38">
        <f t="shared" si="4"/>
        <v>19</v>
      </c>
      <c r="L41" s="9">
        <v>8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/>
      <c r="T41" s="37">
        <v>9</v>
      </c>
      <c r="U41" s="3">
        <v>18</v>
      </c>
      <c r="V41" s="3">
        <v>0</v>
      </c>
      <c r="W41" s="3">
        <f t="shared" si="5"/>
        <v>27</v>
      </c>
      <c r="X41" s="39">
        <f t="shared" si="6"/>
        <v>16.222222222222221</v>
      </c>
      <c r="Y41" s="40">
        <f>626.4/287</f>
        <v>2.1825783972125437</v>
      </c>
      <c r="Z41" s="6">
        <v>50</v>
      </c>
      <c r="AA41" s="42">
        <v>52.3</v>
      </c>
      <c r="AB41" s="19"/>
    </row>
    <row r="42" spans="1:28" ht="20.100000000000001" customHeight="1" x14ac:dyDescent="0.3">
      <c r="A42" s="43">
        <v>40</v>
      </c>
      <c r="B42" s="28">
        <v>2002</v>
      </c>
      <c r="C42" s="28" t="s">
        <v>1</v>
      </c>
      <c r="D42" s="28" t="s">
        <v>2</v>
      </c>
      <c r="E42" s="28" t="s">
        <v>3</v>
      </c>
      <c r="F42" s="58" t="s">
        <v>53</v>
      </c>
      <c r="G42" s="58">
        <v>32</v>
      </c>
      <c r="H42" s="59">
        <f>30+38+30+39+47</f>
        <v>184</v>
      </c>
      <c r="I42" s="60">
        <v>12</v>
      </c>
      <c r="J42" s="58">
        <v>16</v>
      </c>
      <c r="K42" s="48">
        <f t="shared" si="4"/>
        <v>28</v>
      </c>
      <c r="L42" s="61">
        <v>7</v>
      </c>
      <c r="M42" s="61">
        <v>2</v>
      </c>
      <c r="N42" s="61">
        <v>0</v>
      </c>
      <c r="O42" s="61">
        <v>0</v>
      </c>
      <c r="P42" s="61">
        <v>0</v>
      </c>
      <c r="Q42" s="61">
        <v>0</v>
      </c>
      <c r="R42" s="61">
        <v>1</v>
      </c>
      <c r="S42" s="61"/>
      <c r="T42" s="60">
        <v>7</v>
      </c>
      <c r="U42" s="58">
        <v>5</v>
      </c>
      <c r="V42" s="58">
        <v>0</v>
      </c>
      <c r="W42" s="58">
        <f t="shared" si="5"/>
        <v>12</v>
      </c>
      <c r="X42" s="50">
        <f t="shared" si="6"/>
        <v>26.285714285714285</v>
      </c>
      <c r="Y42" s="53">
        <v>4.26</v>
      </c>
      <c r="Z42" s="15">
        <v>50</v>
      </c>
      <c r="AA42" s="62">
        <v>58.95</v>
      </c>
      <c r="AB42" s="19"/>
    </row>
    <row r="43" spans="1:28" ht="20.100000000000001" customHeight="1" x14ac:dyDescent="0.3">
      <c r="A43" s="43">
        <v>41</v>
      </c>
      <c r="B43" s="63">
        <v>2002</v>
      </c>
      <c r="C43" s="63" t="s">
        <v>30</v>
      </c>
      <c r="D43" s="45" t="s">
        <v>2</v>
      </c>
      <c r="E43" s="28" t="s">
        <v>3</v>
      </c>
      <c r="F43" s="58" t="s">
        <v>0</v>
      </c>
      <c r="G43" s="58">
        <v>34</v>
      </c>
      <c r="H43" s="59">
        <v>199</v>
      </c>
      <c r="I43" s="60">
        <v>25</v>
      </c>
      <c r="J43" s="58">
        <v>14</v>
      </c>
      <c r="K43" s="64">
        <f t="shared" si="4"/>
        <v>39</v>
      </c>
      <c r="L43" s="61">
        <v>24</v>
      </c>
      <c r="M43" s="61">
        <v>8</v>
      </c>
      <c r="N43" s="61">
        <v>1</v>
      </c>
      <c r="O43" s="61">
        <v>2</v>
      </c>
      <c r="P43" s="61">
        <v>0</v>
      </c>
      <c r="Q43" s="61">
        <v>0</v>
      </c>
      <c r="R43" s="61">
        <v>4</v>
      </c>
      <c r="S43" s="61"/>
      <c r="T43" s="60">
        <v>6</v>
      </c>
      <c r="U43" s="58">
        <v>32</v>
      </c>
      <c r="V43" s="58">
        <v>0</v>
      </c>
      <c r="W43" s="58">
        <f t="shared" si="5"/>
        <v>38</v>
      </c>
      <c r="X43" s="50">
        <f t="shared" si="6"/>
        <v>33.166666666666664</v>
      </c>
      <c r="Y43" s="65">
        <f>1732.3/330</f>
        <v>5.2493939393939391</v>
      </c>
      <c r="Z43" s="15">
        <v>54</v>
      </c>
      <c r="AA43" s="42">
        <v>56</v>
      </c>
      <c r="AB43" s="19"/>
    </row>
    <row r="44" spans="1:28" ht="20.100000000000001" customHeight="1" x14ac:dyDescent="0.3">
      <c r="A44" s="43">
        <v>42</v>
      </c>
      <c r="B44" s="28">
        <v>2002</v>
      </c>
      <c r="C44" s="28" t="s">
        <v>41</v>
      </c>
      <c r="D44" s="28" t="s">
        <v>35</v>
      </c>
      <c r="E44" s="28" t="s">
        <v>3</v>
      </c>
      <c r="F44" s="58" t="s">
        <v>29</v>
      </c>
      <c r="G44" s="58">
        <v>18</v>
      </c>
      <c r="H44" s="59">
        <f>17+18+18+10+20</f>
        <v>83</v>
      </c>
      <c r="I44" s="60">
        <v>6</v>
      </c>
      <c r="J44" s="58">
        <v>7</v>
      </c>
      <c r="K44" s="64">
        <f t="shared" si="4"/>
        <v>13</v>
      </c>
      <c r="L44" s="61">
        <v>4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9</v>
      </c>
      <c r="S44" s="61"/>
      <c r="T44" s="60">
        <v>4</v>
      </c>
      <c r="U44" s="58">
        <v>17</v>
      </c>
      <c r="V44" s="58">
        <v>0</v>
      </c>
      <c r="W44" s="58">
        <f t="shared" si="5"/>
        <v>21</v>
      </c>
      <c r="X44" s="50">
        <f t="shared" si="6"/>
        <v>20.75</v>
      </c>
      <c r="Y44" s="65">
        <v>5.76</v>
      </c>
      <c r="Z44" s="15">
        <v>60</v>
      </c>
      <c r="AA44" s="66">
        <f>AVERAGE(60,70.5,54.5,66.6,90,126,120,130,189,144)</f>
        <v>105.05999999999999</v>
      </c>
      <c r="AB44" s="19"/>
    </row>
    <row r="45" spans="1:28" ht="20.100000000000001" customHeight="1" x14ac:dyDescent="0.3">
      <c r="A45" s="36">
        <v>43</v>
      </c>
      <c r="B45" s="7">
        <v>2003</v>
      </c>
      <c r="C45" s="7" t="s">
        <v>1</v>
      </c>
      <c r="D45" s="7" t="s">
        <v>75</v>
      </c>
      <c r="E45" s="7" t="s">
        <v>3</v>
      </c>
      <c r="F45" s="8" t="s">
        <v>53</v>
      </c>
      <c r="G45" s="8">
        <v>30</v>
      </c>
      <c r="H45" s="27">
        <v>124</v>
      </c>
      <c r="I45" s="67" t="s">
        <v>88</v>
      </c>
      <c r="J45" s="8" t="s">
        <v>88</v>
      </c>
      <c r="K45" s="68">
        <v>18</v>
      </c>
      <c r="L45" s="69">
        <v>14</v>
      </c>
      <c r="M45" s="69">
        <v>1</v>
      </c>
      <c r="N45" s="69">
        <v>0</v>
      </c>
      <c r="O45" s="69">
        <v>0</v>
      </c>
      <c r="P45" s="69">
        <v>0</v>
      </c>
      <c r="Q45" s="69">
        <v>2</v>
      </c>
      <c r="R45" s="69">
        <v>1</v>
      </c>
      <c r="S45" s="69"/>
      <c r="T45" s="67">
        <v>6</v>
      </c>
      <c r="U45" s="8">
        <v>16</v>
      </c>
      <c r="V45" s="8">
        <v>0</v>
      </c>
      <c r="W45" s="8">
        <f t="shared" si="5"/>
        <v>22</v>
      </c>
      <c r="X45" s="39">
        <f t="shared" si="6"/>
        <v>20.666666666666668</v>
      </c>
      <c r="Y45" s="70">
        <f>1125.6/300</f>
        <v>3.7519999999999998</v>
      </c>
      <c r="Z45" s="15">
        <v>50</v>
      </c>
      <c r="AA45" s="62">
        <v>75.92</v>
      </c>
      <c r="AB45" s="19"/>
    </row>
    <row r="46" spans="1:28" ht="20.100000000000001" customHeight="1" x14ac:dyDescent="0.3">
      <c r="A46" s="36">
        <v>44</v>
      </c>
      <c r="B46" s="7"/>
      <c r="C46" s="7" t="s">
        <v>76</v>
      </c>
      <c r="D46" s="7" t="s">
        <v>77</v>
      </c>
      <c r="E46" s="7" t="s">
        <v>78</v>
      </c>
      <c r="F46" s="8" t="s">
        <v>79</v>
      </c>
      <c r="G46" s="8">
        <v>20</v>
      </c>
      <c r="H46" s="27">
        <f>20+19+19+21+17</f>
        <v>96</v>
      </c>
      <c r="I46" s="67">
        <v>5</v>
      </c>
      <c r="J46" s="8">
        <v>7</v>
      </c>
      <c r="K46" s="68">
        <f t="shared" ref="K46:K53" si="7">SUM(I46:J46)</f>
        <v>12</v>
      </c>
      <c r="L46" s="69">
        <v>8</v>
      </c>
      <c r="M46" s="69">
        <v>0</v>
      </c>
      <c r="N46" s="69">
        <v>0</v>
      </c>
      <c r="O46" s="69">
        <v>1</v>
      </c>
      <c r="P46" s="69">
        <v>0</v>
      </c>
      <c r="Q46" s="69">
        <v>0</v>
      </c>
      <c r="R46" s="69">
        <v>3</v>
      </c>
      <c r="S46" s="69"/>
      <c r="T46" s="67">
        <v>6</v>
      </c>
      <c r="U46" s="8">
        <v>4</v>
      </c>
      <c r="V46" s="8">
        <v>0</v>
      </c>
      <c r="W46" s="8">
        <f t="shared" si="5"/>
        <v>10</v>
      </c>
      <c r="X46" s="39">
        <f>H46/T46</f>
        <v>16</v>
      </c>
      <c r="Y46" s="70" t="s">
        <v>88</v>
      </c>
      <c r="Z46" s="8" t="s">
        <v>88</v>
      </c>
      <c r="AA46" s="62" t="s">
        <v>88</v>
      </c>
      <c r="AB46" s="19"/>
    </row>
    <row r="47" spans="1:28" ht="20.100000000000001" customHeight="1" x14ac:dyDescent="0.3">
      <c r="A47" s="36">
        <v>45</v>
      </c>
      <c r="B47" s="7"/>
      <c r="C47" s="7" t="s">
        <v>34</v>
      </c>
      <c r="D47" s="7" t="s">
        <v>35</v>
      </c>
      <c r="E47" s="7" t="s">
        <v>80</v>
      </c>
      <c r="F47" s="8" t="s">
        <v>79</v>
      </c>
      <c r="G47" s="8">
        <v>33</v>
      </c>
      <c r="H47" s="27">
        <v>185</v>
      </c>
      <c r="I47" s="67">
        <v>10</v>
      </c>
      <c r="J47" s="8">
        <v>14</v>
      </c>
      <c r="K47" s="68">
        <v>24</v>
      </c>
      <c r="L47" s="69">
        <v>16</v>
      </c>
      <c r="M47" s="69">
        <v>1</v>
      </c>
      <c r="N47" s="69">
        <v>0</v>
      </c>
      <c r="O47" s="69">
        <v>0</v>
      </c>
      <c r="P47" s="69">
        <v>0</v>
      </c>
      <c r="Q47" s="69">
        <v>2</v>
      </c>
      <c r="R47" s="69">
        <v>2</v>
      </c>
      <c r="S47" s="69"/>
      <c r="T47" s="67">
        <v>6</v>
      </c>
      <c r="U47" s="8">
        <v>21</v>
      </c>
      <c r="V47" s="8">
        <v>0</v>
      </c>
      <c r="W47" s="8">
        <f t="shared" si="5"/>
        <v>27</v>
      </c>
      <c r="X47" s="39">
        <f>H47/T47</f>
        <v>30.833333333333332</v>
      </c>
      <c r="Y47" s="70">
        <f>1618/368</f>
        <v>4.3967391304347823</v>
      </c>
      <c r="Z47" s="8">
        <v>46</v>
      </c>
      <c r="AA47" s="62">
        <v>57.6</v>
      </c>
      <c r="AB47" s="19" t="s">
        <v>66</v>
      </c>
    </row>
    <row r="48" spans="1:28" ht="20.100000000000001" customHeight="1" x14ac:dyDescent="0.3">
      <c r="A48" s="43">
        <v>46</v>
      </c>
      <c r="B48" s="28">
        <v>2003</v>
      </c>
      <c r="C48" s="28" t="s">
        <v>1</v>
      </c>
      <c r="D48" s="28" t="s">
        <v>52</v>
      </c>
      <c r="E48" s="28" t="s">
        <v>85</v>
      </c>
      <c r="F48" s="15" t="s">
        <v>53</v>
      </c>
      <c r="G48" s="58">
        <v>25</v>
      </c>
      <c r="H48" s="59">
        <f>31+22+16+28+31</f>
        <v>128</v>
      </c>
      <c r="I48" s="60">
        <v>15</v>
      </c>
      <c r="J48" s="58">
        <v>13</v>
      </c>
      <c r="K48" s="64">
        <f t="shared" si="7"/>
        <v>28</v>
      </c>
      <c r="L48" s="61">
        <v>16</v>
      </c>
      <c r="M48" s="61">
        <v>0</v>
      </c>
      <c r="N48" s="61">
        <v>1</v>
      </c>
      <c r="O48" s="61">
        <v>0</v>
      </c>
      <c r="P48" s="61">
        <v>1</v>
      </c>
      <c r="Q48" s="61">
        <v>3</v>
      </c>
      <c r="R48" s="61">
        <v>7</v>
      </c>
      <c r="S48" s="61"/>
      <c r="T48" s="60">
        <v>5</v>
      </c>
      <c r="U48" s="58">
        <v>28</v>
      </c>
      <c r="V48" s="58">
        <v>0</v>
      </c>
      <c r="W48" s="58">
        <f t="shared" ref="W48:W53" si="8">SUM(T48:V48)</f>
        <v>33</v>
      </c>
      <c r="X48" s="50">
        <f t="shared" ref="X48:X53" si="9">H48/T48</f>
        <v>25.6</v>
      </c>
      <c r="Y48" s="65">
        <v>5.91</v>
      </c>
      <c r="Z48" s="15">
        <v>53</v>
      </c>
      <c r="AA48" s="62">
        <f>AVERAGE(36.2,35,49,54,54,54,50.9,54,56.6,72)</f>
        <v>51.570000000000007</v>
      </c>
      <c r="AB48" s="19"/>
    </row>
    <row r="49" spans="1:28" ht="20.100000000000001" customHeight="1" x14ac:dyDescent="0.3">
      <c r="A49" s="36">
        <v>47</v>
      </c>
      <c r="B49" s="7">
        <v>2002</v>
      </c>
      <c r="C49" s="7" t="s">
        <v>4</v>
      </c>
      <c r="D49" s="7" t="s">
        <v>6</v>
      </c>
      <c r="E49" s="7" t="s">
        <v>80</v>
      </c>
      <c r="F49" s="8" t="s">
        <v>29</v>
      </c>
      <c r="G49" s="8">
        <v>54</v>
      </c>
      <c r="H49" s="27">
        <f>61+61+60+47+80</f>
        <v>309</v>
      </c>
      <c r="I49" s="67">
        <v>33</v>
      </c>
      <c r="J49" s="8">
        <v>12</v>
      </c>
      <c r="K49" s="68">
        <f t="shared" si="7"/>
        <v>45</v>
      </c>
      <c r="L49" s="69">
        <v>9</v>
      </c>
      <c r="M49" s="69">
        <v>10</v>
      </c>
      <c r="N49" s="69">
        <v>2</v>
      </c>
      <c r="O49" s="69">
        <v>0</v>
      </c>
      <c r="P49" s="69">
        <v>0</v>
      </c>
      <c r="Q49" s="69">
        <v>2</v>
      </c>
      <c r="R49" s="69">
        <v>3</v>
      </c>
      <c r="S49" s="69"/>
      <c r="T49" s="67">
        <v>13</v>
      </c>
      <c r="U49" s="8">
        <v>38</v>
      </c>
      <c r="V49" s="8">
        <v>9</v>
      </c>
      <c r="W49" s="8">
        <f t="shared" si="8"/>
        <v>60</v>
      </c>
      <c r="X49" s="39">
        <f t="shared" si="9"/>
        <v>23.76923076923077</v>
      </c>
      <c r="Y49" s="70">
        <f>576/592</f>
        <v>0.97297297297297303</v>
      </c>
      <c r="Z49" s="15">
        <v>54</v>
      </c>
      <c r="AA49" s="62">
        <v>28.71</v>
      </c>
      <c r="AB49" s="19"/>
    </row>
    <row r="50" spans="1:28" ht="20.100000000000001" customHeight="1" x14ac:dyDescent="0.3">
      <c r="A50" s="36">
        <v>48</v>
      </c>
      <c r="B50" s="7">
        <v>2002</v>
      </c>
      <c r="C50" s="7" t="s">
        <v>4</v>
      </c>
      <c r="D50" s="7" t="s">
        <v>2</v>
      </c>
      <c r="E50" s="7" t="s">
        <v>3</v>
      </c>
      <c r="F50" s="8" t="s">
        <v>29</v>
      </c>
      <c r="G50" s="8">
        <f>76/2</f>
        <v>38</v>
      </c>
      <c r="H50" s="27">
        <f>38+36+34+49+60</f>
        <v>217</v>
      </c>
      <c r="I50" s="67">
        <v>20</v>
      </c>
      <c r="J50" s="8">
        <v>26</v>
      </c>
      <c r="K50" s="68">
        <f t="shared" si="7"/>
        <v>46</v>
      </c>
      <c r="L50" s="69">
        <v>29</v>
      </c>
      <c r="M50" s="69">
        <v>2</v>
      </c>
      <c r="N50" s="69">
        <v>0</v>
      </c>
      <c r="O50" s="69">
        <v>0</v>
      </c>
      <c r="P50" s="69">
        <v>0</v>
      </c>
      <c r="Q50" s="69">
        <v>2</v>
      </c>
      <c r="R50" s="69">
        <v>13</v>
      </c>
      <c r="S50" s="69"/>
      <c r="T50" s="67">
        <v>16</v>
      </c>
      <c r="U50" s="8">
        <v>37</v>
      </c>
      <c r="V50" s="8">
        <v>0</v>
      </c>
      <c r="W50" s="8">
        <f t="shared" si="8"/>
        <v>53</v>
      </c>
      <c r="X50" s="39">
        <f t="shared" si="9"/>
        <v>13.5625</v>
      </c>
      <c r="Y50" s="70">
        <f>2316.6/624</f>
        <v>3.7124999999999999</v>
      </c>
      <c r="Z50" s="15">
        <v>56</v>
      </c>
      <c r="AA50" s="62">
        <v>56.47</v>
      </c>
      <c r="AB50" s="19"/>
    </row>
    <row r="51" spans="1:28" ht="20.100000000000001" customHeight="1" x14ac:dyDescent="0.3">
      <c r="A51" s="36">
        <v>49</v>
      </c>
      <c r="B51" s="7">
        <v>2002</v>
      </c>
      <c r="C51" s="7" t="s">
        <v>4</v>
      </c>
      <c r="D51" s="7" t="s">
        <v>2</v>
      </c>
      <c r="E51" s="7" t="s">
        <v>82</v>
      </c>
      <c r="F51" s="8" t="s">
        <v>53</v>
      </c>
      <c r="G51" s="8">
        <v>40</v>
      </c>
      <c r="H51" s="27">
        <f>42+43+30+41+33</f>
        <v>189</v>
      </c>
      <c r="I51" s="67">
        <v>15</v>
      </c>
      <c r="J51" s="8">
        <v>14</v>
      </c>
      <c r="K51" s="68">
        <f t="shared" si="7"/>
        <v>29</v>
      </c>
      <c r="L51" s="69">
        <v>10</v>
      </c>
      <c r="M51" s="69">
        <v>4</v>
      </c>
      <c r="N51" s="69">
        <v>0</v>
      </c>
      <c r="O51" s="69">
        <v>0</v>
      </c>
      <c r="P51" s="69">
        <v>0</v>
      </c>
      <c r="Q51" s="69">
        <v>0</v>
      </c>
      <c r="R51" s="69">
        <v>15</v>
      </c>
      <c r="S51" s="69"/>
      <c r="T51" s="67">
        <v>6</v>
      </c>
      <c r="U51" s="8">
        <v>16</v>
      </c>
      <c r="V51" s="8">
        <v>0</v>
      </c>
      <c r="W51" s="8">
        <f t="shared" si="8"/>
        <v>22</v>
      </c>
      <c r="X51" s="39">
        <f t="shared" si="9"/>
        <v>31.5</v>
      </c>
      <c r="Y51" s="70">
        <f>1936.48/448</f>
        <v>4.3224999999999998</v>
      </c>
      <c r="Z51" s="15">
        <v>51</v>
      </c>
      <c r="AA51" s="62">
        <v>51.6</v>
      </c>
      <c r="AB51" s="19"/>
    </row>
    <row r="52" spans="1:28" ht="20.100000000000001" customHeight="1" x14ac:dyDescent="0.3">
      <c r="A52" s="36">
        <v>50</v>
      </c>
      <c r="B52" s="7">
        <v>2002</v>
      </c>
      <c r="C52" s="7" t="s">
        <v>4</v>
      </c>
      <c r="D52" s="7" t="s">
        <v>83</v>
      </c>
      <c r="E52" s="7" t="s">
        <v>84</v>
      </c>
      <c r="F52" s="8" t="s">
        <v>29</v>
      </c>
      <c r="G52" s="8">
        <v>64</v>
      </c>
      <c r="H52" s="27">
        <f>64+68+61+62+99</f>
        <v>354</v>
      </c>
      <c r="I52" s="67" t="s">
        <v>88</v>
      </c>
      <c r="J52" s="8" t="s">
        <v>88</v>
      </c>
      <c r="K52" s="68">
        <v>76</v>
      </c>
      <c r="L52" s="69">
        <v>12</v>
      </c>
      <c r="M52" s="69">
        <v>1</v>
      </c>
      <c r="N52" s="69">
        <v>1</v>
      </c>
      <c r="O52" s="69">
        <v>2</v>
      </c>
      <c r="P52" s="69">
        <v>4</v>
      </c>
      <c r="Q52" s="69">
        <v>5</v>
      </c>
      <c r="R52" s="69">
        <v>8</v>
      </c>
      <c r="S52" s="69"/>
      <c r="T52" s="67">
        <v>19</v>
      </c>
      <c r="U52" s="8">
        <v>27</v>
      </c>
      <c r="V52" s="8">
        <v>0</v>
      </c>
      <c r="W52" s="8">
        <f t="shared" si="8"/>
        <v>46</v>
      </c>
      <c r="X52" s="71">
        <f t="shared" si="9"/>
        <v>18.631578947368421</v>
      </c>
      <c r="Y52" s="70">
        <f>3005.2/746</f>
        <v>4.0284182305630027</v>
      </c>
      <c r="Z52" s="8">
        <v>60</v>
      </c>
      <c r="AA52" s="62">
        <v>44.8</v>
      </c>
      <c r="AB52" s="19"/>
    </row>
    <row r="53" spans="1:28" ht="20.100000000000001" customHeight="1" x14ac:dyDescent="0.3">
      <c r="A53" s="43">
        <v>51</v>
      </c>
      <c r="B53" s="45">
        <v>2005</v>
      </c>
      <c r="C53" s="45" t="s">
        <v>34</v>
      </c>
      <c r="D53" s="45" t="s">
        <v>37</v>
      </c>
      <c r="E53" s="45" t="s">
        <v>38</v>
      </c>
      <c r="F53" s="44" t="s">
        <v>29</v>
      </c>
      <c r="G53" s="44">
        <v>34</v>
      </c>
      <c r="H53" s="46">
        <f>42+55+49+46+45</f>
        <v>237</v>
      </c>
      <c r="I53" s="47">
        <v>30</v>
      </c>
      <c r="J53" s="44">
        <v>23</v>
      </c>
      <c r="K53" s="48">
        <f t="shared" si="7"/>
        <v>53</v>
      </c>
      <c r="L53" s="49">
        <v>26</v>
      </c>
      <c r="M53" s="49">
        <v>0</v>
      </c>
      <c r="N53" s="49">
        <v>1</v>
      </c>
      <c r="O53" s="49">
        <v>0</v>
      </c>
      <c r="P53" s="49">
        <v>0</v>
      </c>
      <c r="Q53" s="49">
        <v>6</v>
      </c>
      <c r="R53" s="49">
        <v>20</v>
      </c>
      <c r="S53" s="49"/>
      <c r="T53" s="47">
        <v>13</v>
      </c>
      <c r="U53" s="44">
        <v>41</v>
      </c>
      <c r="V53" s="44">
        <v>6</v>
      </c>
      <c r="W53" s="44">
        <f t="shared" si="8"/>
        <v>60</v>
      </c>
      <c r="X53" s="50">
        <f t="shared" si="9"/>
        <v>18.23076923076923</v>
      </c>
      <c r="Y53" s="51">
        <f>3054.24/780</f>
        <v>3.9156923076923076</v>
      </c>
      <c r="Z53" s="24">
        <v>50</v>
      </c>
      <c r="AA53" s="52">
        <v>51.13</v>
      </c>
      <c r="AB53" s="19"/>
    </row>
  </sheetData>
  <autoFilter ref="B1:AA53"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</autoFilter>
  <mergeCells count="15">
    <mergeCell ref="F1:F2"/>
    <mergeCell ref="B1:B2"/>
    <mergeCell ref="C1:C2"/>
    <mergeCell ref="D1:D2"/>
    <mergeCell ref="E1:E2"/>
    <mergeCell ref="AB1:AB2"/>
    <mergeCell ref="Y1:Y2"/>
    <mergeCell ref="Z1:Z2"/>
    <mergeCell ref="AA1:AA2"/>
    <mergeCell ref="G1:G2"/>
    <mergeCell ref="H1:H2"/>
    <mergeCell ref="I1:K1"/>
    <mergeCell ref="L1:S1"/>
    <mergeCell ref="T1:W1"/>
    <mergeCell ref="X1:X2"/>
  </mergeCells>
  <phoneticPr fontId="1" type="noConversion"/>
  <pageMargins left="0.7" right="0.7" top="0.75" bottom="0.75" header="0.3" footer="0.3"/>
  <pageSetup paperSize="9" orientation="portrait" r:id="rId1"/>
  <ignoredErrors>
    <ignoredError sqref="H1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인적자원, 정보자원, 스튜디오 현황 (2016.02)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건인원</dc:creator>
  <cp:lastModifiedBy>Hewlett-Packard Company</cp:lastModifiedBy>
  <dcterms:created xsi:type="dcterms:W3CDTF">2012-04-23T05:09:05Z</dcterms:created>
  <dcterms:modified xsi:type="dcterms:W3CDTF">2016-12-13T08:45:12Z</dcterms:modified>
</cp:coreProperties>
</file>